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R:\Informacion\YASMITH AMARGO\Desktop\Herramientas_wos_scopus_ociteb_v1 ultimo\data\source\"/>
    </mc:Choice>
  </mc:AlternateContent>
  <bookViews>
    <workbookView xWindow="0" yWindow="0" windowWidth="20490" windowHeight="7350"/>
  </bookViews>
  <sheets>
    <sheet name="original" sheetId="1" r:id="rId1"/>
  </sheets>
  <calcPr calcId="162913"/>
</workbook>
</file>

<file path=xl/calcChain.xml><?xml version="1.0" encoding="utf-8"?>
<calcChain xmlns="http://schemas.openxmlformats.org/spreadsheetml/2006/main">
  <c r="BF50" i="1" l="1"/>
  <c r="BT50" i="1"/>
  <c r="BF55" i="1"/>
  <c r="BT55" i="1"/>
  <c r="BF227" i="1"/>
  <c r="BT227" i="1"/>
  <c r="BF86" i="1"/>
  <c r="BT86" i="1"/>
  <c r="BF36" i="1"/>
  <c r="BT36" i="1"/>
  <c r="BF154" i="1"/>
  <c r="BT154" i="1"/>
  <c r="BF164" i="1"/>
  <c r="BT164" i="1"/>
  <c r="BF27" i="1"/>
  <c r="BT27" i="1"/>
  <c r="BF186" i="1"/>
  <c r="BT186" i="1"/>
  <c r="BF99" i="1"/>
  <c r="BT99" i="1"/>
  <c r="BF92" i="1"/>
  <c r="BT92" i="1"/>
  <c r="BF106" i="1"/>
  <c r="BT106" i="1"/>
  <c r="BF18" i="1"/>
  <c r="BT18" i="1"/>
  <c r="BF229" i="1"/>
  <c r="BT229" i="1"/>
  <c r="BF96" i="1"/>
  <c r="BT96" i="1"/>
  <c r="BF97" i="1"/>
  <c r="BT97" i="1"/>
  <c r="BF150" i="1"/>
  <c r="BT150" i="1"/>
  <c r="BF108" i="1"/>
  <c r="BT108" i="1"/>
  <c r="BF6" i="1"/>
  <c r="BT6" i="1"/>
  <c r="BF82" i="1"/>
  <c r="BT82" i="1"/>
  <c r="BF88" i="1"/>
  <c r="BT88" i="1"/>
  <c r="BF17" i="1"/>
  <c r="BT17" i="1"/>
  <c r="BF221" i="1"/>
  <c r="BT221" i="1"/>
  <c r="BF22" i="1"/>
  <c r="BT22" i="1"/>
  <c r="BF302" i="1"/>
  <c r="BT302" i="1"/>
  <c r="BF309" i="1"/>
  <c r="BT309" i="1"/>
  <c r="BF87" i="1"/>
  <c r="BT87" i="1"/>
  <c r="BF109" i="1"/>
  <c r="BT109" i="1"/>
  <c r="BF120" i="1"/>
  <c r="BT120" i="1"/>
  <c r="BF112" i="1"/>
  <c r="BT112" i="1"/>
  <c r="BF201" i="1"/>
  <c r="BT201" i="1"/>
  <c r="BF93" i="1"/>
  <c r="BT93" i="1"/>
  <c r="BF80" i="1"/>
  <c r="BT80" i="1"/>
  <c r="BF236" i="1"/>
  <c r="BT236" i="1"/>
  <c r="BF168" i="1"/>
  <c r="BT168" i="1"/>
  <c r="BF74" i="1"/>
  <c r="BT74" i="1"/>
  <c r="BF232" i="1"/>
  <c r="BT232" i="1"/>
  <c r="BF288" i="1"/>
  <c r="BT288" i="1"/>
  <c r="BF19" i="1"/>
  <c r="BT19" i="1"/>
  <c r="BF72" i="1"/>
  <c r="BT72" i="1"/>
  <c r="BF289" i="1"/>
  <c r="BT289" i="1"/>
  <c r="BF65" i="1"/>
  <c r="BT65" i="1"/>
  <c r="BF138" i="1"/>
  <c r="BT138" i="1"/>
  <c r="BF118" i="1"/>
  <c r="BT118" i="1"/>
  <c r="BF85" i="1"/>
  <c r="BT85" i="1"/>
  <c r="BF58" i="1"/>
  <c r="BT58" i="1"/>
  <c r="BF25" i="1"/>
  <c r="BT25" i="1"/>
  <c r="BF187" i="1"/>
  <c r="BT187" i="1"/>
  <c r="BF9" i="1"/>
  <c r="BT9" i="1"/>
  <c r="BF110" i="1"/>
  <c r="BT110" i="1"/>
  <c r="BF219" i="1"/>
  <c r="BT219" i="1"/>
  <c r="BF235" i="1"/>
  <c r="BT235" i="1"/>
  <c r="BF195" i="1"/>
  <c r="BT195" i="1"/>
  <c r="BF271" i="1"/>
  <c r="BT271" i="1"/>
  <c r="BF276" i="1"/>
  <c r="BT276" i="1"/>
  <c r="BF11" i="1"/>
  <c r="BT11" i="1"/>
  <c r="BF13" i="1"/>
  <c r="BT13" i="1"/>
  <c r="BT2" i="1"/>
  <c r="BF21" i="1"/>
  <c r="BT21" i="1"/>
  <c r="BF43" i="1"/>
  <c r="BT43" i="1"/>
  <c r="BF56" i="1"/>
  <c r="BT56" i="1"/>
  <c r="BF45" i="1"/>
  <c r="BT45" i="1"/>
  <c r="BF37" i="1"/>
  <c r="BT37" i="1"/>
  <c r="BF287" i="1"/>
  <c r="BT287" i="1"/>
  <c r="BF243" i="1"/>
  <c r="BT243" i="1"/>
  <c r="BF121" i="1"/>
  <c r="BT121" i="1"/>
  <c r="BF313" i="1"/>
  <c r="BT313" i="1"/>
  <c r="BF31" i="1"/>
  <c r="BT31" i="1"/>
  <c r="BF23" i="1"/>
  <c r="BT23" i="1"/>
  <c r="BF51" i="1"/>
  <c r="BT51" i="1"/>
  <c r="BF5" i="1"/>
  <c r="BT5" i="1"/>
  <c r="BF30" i="1"/>
  <c r="BT30" i="1"/>
  <c r="BF308" i="1"/>
  <c r="BT308" i="1"/>
  <c r="BF26" i="1"/>
  <c r="BT26" i="1"/>
  <c r="BF169" i="1"/>
  <c r="BT169" i="1"/>
  <c r="BF211" i="1"/>
  <c r="BT211" i="1"/>
  <c r="BF124" i="1"/>
  <c r="BT124" i="1"/>
  <c r="BF282" i="1"/>
  <c r="BT282" i="1"/>
  <c r="BF240" i="1"/>
  <c r="BT240" i="1"/>
  <c r="BF77" i="1"/>
  <c r="BT77" i="1"/>
  <c r="BF111" i="1"/>
  <c r="BT111" i="1"/>
  <c r="BF206" i="1"/>
  <c r="BT206" i="1"/>
  <c r="BF248" i="1"/>
  <c r="BT248" i="1"/>
  <c r="BT131" i="1"/>
  <c r="BF247" i="1"/>
  <c r="BT247" i="1"/>
  <c r="BF196" i="1"/>
  <c r="BT196" i="1"/>
  <c r="BF163" i="1"/>
  <c r="BT163" i="1"/>
  <c r="BF165" i="1"/>
  <c r="BT165" i="1"/>
  <c r="BF173" i="1"/>
  <c r="BT173" i="1"/>
  <c r="BF225" i="1"/>
  <c r="BT225" i="1"/>
  <c r="BF171" i="1"/>
  <c r="BT171" i="1"/>
  <c r="BF172" i="1"/>
  <c r="BT172" i="1"/>
  <c r="BT226" i="1"/>
  <c r="BF117" i="1"/>
  <c r="BT117" i="1"/>
  <c r="BF259" i="1"/>
  <c r="BT259" i="1"/>
  <c r="BF265" i="1"/>
  <c r="BT265" i="1"/>
  <c r="BF218" i="1"/>
  <c r="BT218" i="1"/>
  <c r="BT132" i="1"/>
  <c r="BF278" i="1"/>
  <c r="BT278" i="1"/>
  <c r="BF254" i="1"/>
  <c r="BT254" i="1"/>
  <c r="BF40" i="1"/>
  <c r="BT40" i="1"/>
  <c r="BF68" i="1"/>
  <c r="BT68" i="1"/>
  <c r="BF142" i="1"/>
  <c r="BT142" i="1"/>
  <c r="BF162" i="1"/>
  <c r="BT162" i="1"/>
  <c r="BF100" i="1"/>
  <c r="BT100" i="1"/>
  <c r="BF91" i="1"/>
  <c r="BT91" i="1"/>
  <c r="BF301" i="1"/>
  <c r="BT301" i="1"/>
  <c r="BF193" i="1"/>
  <c r="BT193" i="1"/>
  <c r="BF152" i="1"/>
  <c r="BT152" i="1"/>
  <c r="BF137" i="1"/>
  <c r="BT137" i="1"/>
  <c r="BF192" i="1"/>
  <c r="BT192" i="1"/>
  <c r="BF129" i="1"/>
  <c r="BT129" i="1"/>
  <c r="BF133" i="1"/>
  <c r="BT133" i="1"/>
  <c r="BF224" i="1"/>
  <c r="BT224" i="1"/>
  <c r="BF297" i="1"/>
  <c r="BT297" i="1"/>
  <c r="BF145" i="1"/>
  <c r="BT145" i="1"/>
  <c r="BT67" i="1"/>
  <c r="BF71" i="1"/>
  <c r="BT71" i="1"/>
  <c r="BF128" i="1"/>
  <c r="BT128" i="1"/>
  <c r="BF149" i="1"/>
  <c r="BT149" i="1"/>
  <c r="BF200" i="1"/>
  <c r="BT200" i="1"/>
  <c r="BF79" i="1"/>
  <c r="BT79" i="1"/>
  <c r="BF89" i="1"/>
  <c r="BT89" i="1"/>
  <c r="BF295" i="1"/>
  <c r="BT295" i="1"/>
  <c r="BF101" i="1"/>
  <c r="BT101" i="1"/>
  <c r="BF155" i="1"/>
  <c r="BT155" i="1"/>
  <c r="BF181" i="1"/>
  <c r="BT181" i="1"/>
  <c r="BF212" i="1"/>
  <c r="BT212" i="1"/>
  <c r="BF267" i="1"/>
  <c r="BT267" i="1"/>
  <c r="BF59" i="1"/>
  <c r="BT59" i="1"/>
  <c r="BF203" i="1"/>
  <c r="BT203" i="1"/>
  <c r="BF275" i="1"/>
  <c r="BT275" i="1"/>
  <c r="BF28" i="1"/>
  <c r="BT28" i="1"/>
  <c r="BF42" i="1"/>
  <c r="BT42" i="1"/>
  <c r="BF314" i="1"/>
  <c r="BT314" i="1"/>
  <c r="BF160" i="1"/>
  <c r="BT160" i="1"/>
  <c r="BF307" i="1"/>
  <c r="BT307" i="1"/>
  <c r="BF3" i="1"/>
  <c r="BT3" i="1"/>
  <c r="BF303" i="1"/>
  <c r="BT303" i="1"/>
  <c r="BF250" i="1"/>
  <c r="BT250" i="1"/>
  <c r="BF147" i="1"/>
  <c r="BT147" i="1"/>
  <c r="BF144" i="1"/>
  <c r="BT144" i="1"/>
  <c r="BF107" i="1"/>
  <c r="BT107" i="1"/>
  <c r="BF234" i="1"/>
  <c r="BT234" i="1"/>
  <c r="BT191" i="1"/>
  <c r="BF252" i="1"/>
  <c r="BT252" i="1"/>
  <c r="BF158" i="1"/>
  <c r="BT158" i="1"/>
  <c r="BF159" i="1"/>
  <c r="BT159" i="1"/>
  <c r="BF210" i="1"/>
  <c r="BT210" i="1"/>
  <c r="BF305" i="1"/>
  <c r="BT305" i="1"/>
  <c r="BF73" i="1"/>
  <c r="BT73" i="1"/>
  <c r="BF105" i="1"/>
  <c r="BT105" i="1"/>
  <c r="BF216" i="1"/>
  <c r="BT216" i="1"/>
  <c r="BF296" i="1"/>
  <c r="BT296" i="1"/>
  <c r="BF98" i="1"/>
  <c r="BT98" i="1"/>
  <c r="BF241" i="1"/>
  <c r="BT241" i="1"/>
  <c r="BF269" i="1"/>
  <c r="BT269" i="1"/>
  <c r="BF10" i="1"/>
  <c r="BT10" i="1"/>
  <c r="BF84" i="1"/>
  <c r="BT84" i="1"/>
  <c r="BT8" i="1"/>
  <c r="BF83" i="1"/>
  <c r="BT83" i="1"/>
  <c r="BF239" i="1"/>
  <c r="BT239" i="1"/>
  <c r="BF300" i="1"/>
  <c r="BT300" i="1"/>
  <c r="BF290" i="1"/>
  <c r="BT290" i="1"/>
  <c r="BF255" i="1"/>
  <c r="BT255" i="1"/>
  <c r="BF222" i="1"/>
  <c r="BT222" i="1"/>
  <c r="BF284" i="1"/>
  <c r="BT284" i="1"/>
  <c r="BF246" i="1"/>
  <c r="BT246" i="1"/>
  <c r="BF94" i="1"/>
  <c r="BT94" i="1"/>
  <c r="BF245" i="1"/>
  <c r="BT245" i="1"/>
  <c r="BF213" i="1"/>
  <c r="BT213" i="1"/>
  <c r="BF182" i="1"/>
  <c r="BT182" i="1"/>
  <c r="BF230" i="1"/>
  <c r="BT230" i="1"/>
  <c r="BF199" i="1"/>
  <c r="BT199" i="1"/>
  <c r="BF263" i="1"/>
  <c r="BT263" i="1"/>
  <c r="BF286" i="1"/>
  <c r="BT286" i="1"/>
  <c r="BF264" i="1"/>
  <c r="BT264" i="1"/>
  <c r="BF64" i="1"/>
  <c r="BT64" i="1"/>
  <c r="BF251" i="1"/>
  <c r="BT251" i="1"/>
  <c r="BF52" i="1"/>
  <c r="BT52" i="1"/>
  <c r="BF49" i="1"/>
  <c r="BT49" i="1"/>
  <c r="BF311" i="1"/>
  <c r="BT311" i="1"/>
  <c r="BF294" i="1"/>
  <c r="BT294" i="1"/>
  <c r="BF60" i="1"/>
  <c r="BT60" i="1"/>
  <c r="BF273" i="1"/>
  <c r="BT273" i="1"/>
  <c r="BF115" i="1"/>
  <c r="BT115" i="1"/>
  <c r="BF285" i="1"/>
  <c r="BT285" i="1"/>
  <c r="BF274" i="1"/>
  <c r="BT274" i="1"/>
  <c r="BF262" i="1"/>
  <c r="BT262" i="1"/>
  <c r="BT231" i="1"/>
  <c r="BF104" i="1"/>
  <c r="BT104" i="1"/>
  <c r="BF261" i="1"/>
  <c r="BT261" i="1"/>
  <c r="BF122" i="1"/>
  <c r="BT122" i="1"/>
  <c r="BF293" i="1"/>
  <c r="BT293" i="1"/>
  <c r="BF127" i="1"/>
  <c r="BT127" i="1"/>
  <c r="BF175" i="1"/>
  <c r="BT175" i="1"/>
  <c r="BF119" i="1"/>
  <c r="BT119" i="1"/>
  <c r="BF151" i="1"/>
  <c r="BT151" i="1"/>
  <c r="BF316" i="1"/>
  <c r="BT316" i="1"/>
  <c r="BF53" i="1"/>
  <c r="BT53" i="1"/>
  <c r="BF123" i="1"/>
  <c r="BT123" i="1"/>
  <c r="BF298" i="1"/>
  <c r="BT298" i="1"/>
  <c r="BT183" i="1"/>
  <c r="BF272" i="1"/>
  <c r="BT272" i="1"/>
  <c r="BF228" i="1"/>
  <c r="BT228" i="1"/>
  <c r="BF126" i="1"/>
  <c r="BT126" i="1"/>
  <c r="BF281" i="1"/>
  <c r="BT281" i="1"/>
  <c r="BF292" i="1"/>
  <c r="BT292" i="1"/>
  <c r="BF238" i="1"/>
  <c r="BT238" i="1"/>
  <c r="BF32" i="1"/>
  <c r="BT32" i="1"/>
  <c r="BF258" i="1"/>
  <c r="BT258" i="1"/>
  <c r="BF134" i="1"/>
  <c r="BT134" i="1"/>
  <c r="BF257" i="1"/>
  <c r="BT257" i="1"/>
  <c r="BF146" i="1"/>
  <c r="BT146" i="1"/>
  <c r="BF202" i="1"/>
  <c r="BT202" i="1"/>
  <c r="BF139" i="1"/>
  <c r="BT139" i="1"/>
  <c r="BF266" i="1"/>
  <c r="BT266" i="1"/>
  <c r="BT189" i="1"/>
  <c r="BF220" i="1"/>
  <c r="BT220" i="1"/>
  <c r="BT38" i="1"/>
  <c r="BF102" i="1"/>
  <c r="BT102" i="1"/>
  <c r="BF204" i="1"/>
  <c r="BT204" i="1"/>
  <c r="BF249" i="1"/>
  <c r="BT249" i="1"/>
  <c r="BT198" i="1"/>
  <c r="BF130" i="1"/>
  <c r="BT130" i="1"/>
  <c r="BF29" i="1"/>
  <c r="BT29" i="1"/>
  <c r="BF44" i="1"/>
  <c r="BT44" i="1"/>
  <c r="BF66" i="1"/>
  <c r="BT66" i="1"/>
  <c r="BF299" i="1"/>
  <c r="BT299" i="1"/>
  <c r="BF61" i="1"/>
  <c r="BT61" i="1"/>
  <c r="BF81" i="1"/>
  <c r="BT81" i="1"/>
  <c r="BF279" i="1"/>
  <c r="BT279" i="1"/>
  <c r="BF280" i="1"/>
  <c r="BT280" i="1"/>
  <c r="BF291" i="1"/>
  <c r="BT291" i="1"/>
  <c r="BF35" i="1"/>
  <c r="BT35" i="1"/>
  <c r="BF24" i="1"/>
  <c r="BT24" i="1"/>
  <c r="BF253" i="1"/>
  <c r="BT253" i="1"/>
  <c r="BF76" i="1"/>
  <c r="BT76" i="1"/>
  <c r="BF188" i="1"/>
  <c r="BT188" i="1"/>
  <c r="BF205" i="1"/>
  <c r="BT205" i="1"/>
  <c r="BF70" i="1"/>
  <c r="BT70" i="1"/>
  <c r="BF304" i="1"/>
  <c r="BT304" i="1"/>
  <c r="BF153" i="1"/>
  <c r="BT153" i="1"/>
  <c r="BT95" i="1"/>
  <c r="BF62" i="1"/>
  <c r="BT62" i="1"/>
  <c r="BT90" i="1"/>
  <c r="BF135" i="1"/>
  <c r="BT135" i="1"/>
  <c r="BT16" i="1"/>
  <c r="BF47" i="1"/>
  <c r="BT47" i="1"/>
  <c r="BF75" i="1"/>
  <c r="BT75" i="1"/>
  <c r="BF176" i="1"/>
  <c r="BT176" i="1"/>
  <c r="BF209" i="1"/>
  <c r="BT209" i="1"/>
  <c r="BF125" i="1"/>
  <c r="BT125" i="1"/>
  <c r="BF103" i="1"/>
  <c r="BT103" i="1"/>
  <c r="BF197" i="1"/>
  <c r="BT197" i="1"/>
  <c r="BF233" i="1"/>
  <c r="BT233" i="1"/>
  <c r="BF317" i="1"/>
  <c r="BT317" i="1"/>
  <c r="BF315" i="1"/>
  <c r="BT315" i="1"/>
  <c r="BF54" i="1"/>
  <c r="BT54" i="1"/>
  <c r="BF244" i="1"/>
  <c r="BT244" i="1"/>
  <c r="BF277" i="1"/>
  <c r="BT277" i="1"/>
  <c r="BF237" i="1"/>
  <c r="BT237" i="1"/>
  <c r="BF34" i="1"/>
  <c r="BT34" i="1"/>
  <c r="BF312" i="1"/>
  <c r="BT312" i="1"/>
  <c r="BF178" i="1"/>
  <c r="BT178" i="1"/>
  <c r="BF214" i="1"/>
  <c r="BT214" i="1"/>
  <c r="BF20" i="1"/>
  <c r="BT20" i="1"/>
  <c r="BF57" i="1"/>
  <c r="BT57" i="1"/>
  <c r="BF148" i="1"/>
  <c r="BT148" i="1"/>
  <c r="BF156" i="1"/>
  <c r="BT156" i="1"/>
  <c r="BF41" i="1"/>
  <c r="BT41" i="1"/>
  <c r="BF143" i="1"/>
  <c r="BT143" i="1"/>
  <c r="BF69" i="1"/>
  <c r="BT69" i="1"/>
  <c r="BF260" i="1"/>
  <c r="BT260" i="1"/>
  <c r="BF310" i="1"/>
  <c r="BT310" i="1"/>
  <c r="BF283" i="1"/>
  <c r="BT283" i="1"/>
  <c r="BF190" i="1"/>
  <c r="BT190" i="1"/>
  <c r="BF167" i="1"/>
  <c r="BT167" i="1"/>
  <c r="BF217" i="1"/>
  <c r="BT217" i="1"/>
  <c r="BF166" i="1"/>
  <c r="BT166" i="1"/>
  <c r="BF207" i="1"/>
  <c r="BT207" i="1"/>
  <c r="BT223" i="1"/>
  <c r="BF270" i="1"/>
  <c r="BT270" i="1"/>
  <c r="BF14" i="1"/>
  <c r="BT14" i="1"/>
  <c r="BF15" i="1"/>
  <c r="BT15" i="1"/>
  <c r="BF63" i="1"/>
  <c r="BT63" i="1"/>
  <c r="BF215" i="1"/>
  <c r="BT215" i="1"/>
  <c r="BF140" i="1"/>
  <c r="BT140" i="1"/>
  <c r="BT33" i="1"/>
  <c r="BF46" i="1"/>
  <c r="BT46" i="1"/>
  <c r="BT170" i="1"/>
  <c r="BF157" i="1"/>
  <c r="BT157" i="1"/>
  <c r="BF39" i="1"/>
  <c r="BT39" i="1"/>
  <c r="BF4" i="1"/>
  <c r="BT4" i="1"/>
  <c r="BF161" i="1"/>
  <c r="BT161" i="1"/>
  <c r="BF242" i="1"/>
  <c r="BT242" i="1"/>
  <c r="BF174" i="1"/>
  <c r="BT174" i="1"/>
  <c r="BF208" i="1"/>
  <c r="BT208" i="1"/>
  <c r="BF78" i="1"/>
  <c r="BT78" i="1"/>
  <c r="BF306" i="1"/>
  <c r="BT306" i="1"/>
  <c r="BF179" i="1"/>
  <c r="BT179" i="1"/>
  <c r="BF116" i="1"/>
  <c r="BT116" i="1"/>
  <c r="BF256" i="1"/>
  <c r="BT256" i="1"/>
  <c r="BF12" i="1"/>
  <c r="BT12" i="1"/>
  <c r="BF136" i="1"/>
  <c r="BT136" i="1"/>
  <c r="BF194" i="1"/>
  <c r="BT194" i="1"/>
  <c r="BF141" i="1"/>
  <c r="BT141" i="1"/>
  <c r="BF114" i="1"/>
  <c r="BT114" i="1"/>
  <c r="BF177" i="1"/>
  <c r="BT177" i="1"/>
  <c r="BF268" i="1"/>
  <c r="BT268" i="1"/>
  <c r="BF113" i="1"/>
  <c r="BT113" i="1"/>
  <c r="BF48" i="1"/>
  <c r="BT48" i="1"/>
  <c r="BF184" i="1"/>
  <c r="BT184" i="1"/>
  <c r="BF185" i="1"/>
  <c r="BT185" i="1"/>
  <c r="BF7" i="1"/>
  <c r="BT7" i="1"/>
  <c r="BF180" i="1"/>
  <c r="BT180" i="1"/>
</calcChain>
</file>

<file path=xl/sharedStrings.xml><?xml version="1.0" encoding="utf-8"?>
<sst xmlns="http://schemas.openxmlformats.org/spreadsheetml/2006/main" count="19040" uniqueCount="6500">
  <si>
    <t>Publication Type</t>
  </si>
  <si>
    <t>Authors</t>
  </si>
  <si>
    <t>Book Authors</t>
  </si>
  <si>
    <t>Book Editors</t>
  </si>
  <si>
    <t>Book Group Authors</t>
  </si>
  <si>
    <t>Author Full Names</t>
  </si>
  <si>
    <t>Book Author Full Names</t>
  </si>
  <si>
    <t>Group Authors</t>
  </si>
  <si>
    <t>Article Title</t>
  </si>
  <si>
    <t>Source Title</t>
  </si>
  <si>
    <t>Book Series Title</t>
  </si>
  <si>
    <t>Book Series Subtitle</t>
  </si>
  <si>
    <t>Language</t>
  </si>
  <si>
    <t>Document Type</t>
  </si>
  <si>
    <t>Conference Title</t>
  </si>
  <si>
    <t>Conference Date</t>
  </si>
  <si>
    <t>Conference Location</t>
  </si>
  <si>
    <t>Conference Sponsor</t>
  </si>
  <si>
    <t>Conference Host</t>
  </si>
  <si>
    <t>Author Keywords</t>
  </si>
  <si>
    <t>Keywords Plus</t>
  </si>
  <si>
    <t>Abstract</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</si>
  <si>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</si>
  <si>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</si>
  <si>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</si>
  <si>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</si>
  <si>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</si>
  <si>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</si>
  <si>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</si>
  <si>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</si>
  <si>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</si>
  <si>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</si>
  <si>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</si>
  <si>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</si>
  <si>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</si>
  <si>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</si>
  <si>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</si>
  <si>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t>
  </si>
  <si>
    <t>Publisher City</t>
  </si>
  <si>
    <t>Publisher Address</t>
  </si>
  <si>
    <t>ISSN</t>
  </si>
  <si>
    <t>eISSN</t>
  </si>
  <si>
    <t>ISBN</t>
  </si>
  <si>
    <t>Journal Abbreviation</t>
  </si>
  <si>
    <t>Journal ISO Abbreviation</t>
  </si>
  <si>
    <t>Publication Date</t>
  </si>
  <si>
    <t>Publication Year</t>
  </si>
  <si>
    <t>Volume</t>
  </si>
  <si>
    <t>Issue</t>
  </si>
  <si>
    <t>Part Number</t>
  </si>
  <si>
    <t>Supplement</t>
  </si>
  <si>
    <t>Special Issue</t>
  </si>
  <si>
    <t>Meeting Abstract</t>
  </si>
  <si>
    <t>Start Page</t>
  </si>
  <si>
    <t>End Page</t>
  </si>
  <si>
    <t>Article Number</t>
  </si>
  <si>
    <t>DOI</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</si>
  <si>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</si>
  <si>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</si>
  <si>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</si>
  <si>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</si>
  <si>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</si>
  <si>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</si>
  <si>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</si>
  <si>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</si>
  <si>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</si>
  <si>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</si>
  <si>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</si>
  <si>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</si>
  <si>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</si>
  <si>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</si>
  <si>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</si>
  <si>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</si>
  <si>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Otalora, MC; Wilches-Torres, A; Castano, JGA</t>
  </si>
  <si>
    <t/>
  </si>
  <si>
    <t>Otalora, Maria Carolina; Wilches-Torres, Andrea; Gomez Castano, Jovanny A.</t>
  </si>
  <si>
    <t>Spray-Drying Microencapsulation of Pink Guava (Psidium guajava) Carotenoids Using Mucilage from Opuntia ficus-indica Cladodes and Aloe Vera Leaves as Encapsulating Materials</t>
  </si>
  <si>
    <t>POLYMERS</t>
  </si>
  <si>
    <t>English</t>
  </si>
  <si>
    <t>Article</t>
  </si>
  <si>
    <t>guava; carotenoids; microencapsulation; mucilage; spray-drying; aloe vera; Opuntia ficus-indica</t>
  </si>
  <si>
    <t>ANTIOXIDANT ACTIVITY; BARBADENSIS MILLER; NOPAL MUCILAGE; MESQUITE GUM; STABILITY; L.; OIL; NANOENCAPSULATION; OXIDATION; EXTRACT</t>
  </si>
  <si>
    <t>In this work, the capacity of the mucilage extracted from the cladodes of Opuntia ficus-indica (OFI) and aloe vera (AV) leaves as wall material in the microencapsulation of pink guava carotenoids using spray-drying was studied. The stability of the encapsulated carotenoids was quantified using UV-vis and HPLC/MS techniques. Likewise, the antioxidant activity (TEAC), color (CIELab), structural (FTIR) and microstructural (SEM and particle size) properties, as well as the total dietary content, of both types of mucilage microcapsules were determined. Our results show that the use of AV mucilage, compared to OFI mucilage, increased both the retention of beta-carotene and the antioxidant capacity of the carotenoid microcapsules by around 14%, as well as the total carotenoid content (TCC) by around 26%, and also favors the formation of spherical-type particles (o approximately equal to 26 mu m) without the apparent damage of a more uniform size and with an attractive red-yellow hue. This type of microcapsules is proposed as a convenient alternative means to incorporate guava carotenoids, a natural colorant with a high antioxidant capacity, and dietary fiber content in the manufacture of functional products, which is a topic of interest for the food, pharmaceutical, and cosmetic industries.</t>
  </si>
  <si>
    <t>[Otalora, Maria Carolina; Wilches-Torres, Andrea] Univ Boyaca, Fac Ciencias &amp; Ingn, Grp Invest Ciencias Basicas NUCLEO, Tunja 050030, Boyaca, Colombia; [Gomez Castano, Jovanny A.] Univ Pedag &amp; Tecnol Colombia UPTC, Fac Ciencias, Grp Quim Fis Mol &amp; Modelamiento Computac QUIMOL, Tunja 050030, Boyaca, Colombia</t>
  </si>
  <si>
    <t>Universidad Pedagogica y Tecnologica de Colombia (UPTC)</t>
  </si>
  <si>
    <t>Otalora, MC (corresponding author), Univ Boyaca, Fac Ciencias &amp; Ingn, Grp Invest Ciencias Basicas NUCLEO, Tunja 050030, Boyaca, Colombia.;Castano, JGA (corresponding author), Univ Pedag &amp; Tecnol Colombia UPTC, Fac Ciencias, Grp Quim Fis Mol &amp; Modelamiento Computac QUIMOL, Tunja 050030, Boyaca, Colombia.</t>
  </si>
  <si>
    <t>marotalora@uniboyaca.edu.co; andreawilches@uniboyaca.edu.co; jovanny.gomez@uptc.edu.co</t>
  </si>
  <si>
    <t>Gómez Castaño, Jovanny A./X-7862-2019</t>
  </si>
  <si>
    <t>Gómez Castaño, Jovanny A./0000-0002-6654-1315; Wilches-Torres, Andrea/0000-0002-7980-2342; Otalora, Maria Carolina/0000-0003-0594-1363</t>
  </si>
  <si>
    <t>Universidad de Boyaca and the Universidad Pedagogica y Tecnologica de Colombia (UPTC) [SGI 2384]; Vicerrectoria de Investigaciones of the Universidad Pedagogica y Tecnologica de Colombia</t>
  </si>
  <si>
    <t>Universidad de Boyaca and the Universidad Pedagogica y Tecnologica de Colombia (UPTC); Vicerrectoria de Investigaciones of the Universidad Pedagogica y Tecnologica de Colombia</t>
  </si>
  <si>
    <t>FundingThis work was funded by the Universidad de Boyaca and the Universidad Pedagogica y Tecnologica de Colombia (UPTC) through the interinstitutional project SGI 2384 of the Vicerrectoria de Investigaciones of the Universidad Pedagogica y Tecnologica de Colombia.</t>
  </si>
  <si>
    <t>Andrade LA, 2020, FOOD CHEM, V327, DOI 10.1016/j.foodchem.2020.127095; Bustamante M, 2015, LWT-FOOD SCI TECHNOL, V62, P1162, DOI 10.1016/j.lwt.2015.02.017; Camacho M.I., 2010, DESARROLLO PRODUCTOS, V1st, P155; Carneiro HCF, 2013, J FOOD ENG, V115, P443, DOI 10.1016/j.jfoodeng.2012.03.033; Otalora MC, 2019, LWT-FOOD SCI TECHNOL, V112, DOI 10.1016/j.lwt.2019.06.001; Otalora MC, 2018, FOOD RES INT, V111, P423, DOI 10.1016/j.foodres.2018.05.058; Otalora MC, 2015, FOOD CHEM, V187, P174, DOI 10.1016/j.foodchem.2015.04.090; Cervantes-Martinez CV, 2014, LWT-FOOD SCI TECHNOL, V55, P426, DOI 10.1016/j.lwt.2013.09.026; Chang SK, 2019, CRIT REV FOOD SCI, V59, P1580, DOI 10.1080/10408398.2017.1422111; Chang YP, 2020, VALORIZATION OF FRUIT PROCESSING BY-PRODUCTS, P227, DOI 10.1016/B978-0-12-817106-6.00011-3; Cortes-Camargo S, 2017, J MICROENCAPSUL, V34, P395, DOI 10.1080/02652048.2017.1338772; Cortes-Carnargo S, 2019, FOOD RES INT, V116, P1010, DOI 10.1016/j.foodres.2018.09.040; Cunniff P, 1997, OFFICIAL METHODS ANA, V16th ed.; de Campo C, 2018, COLLOID SURFACE A, V558, P410, DOI 10.1016/j.colsurfa.2018.09.009; de Campo C, 2017, FOOD CHEM, V234, P1, DOI 10.1016/j.foodchem.2017.04.153; Delia SC, 2019, FOOD CHEM, V272, P715, DOI 10.1016/j.foodchem.2018.08.069; Gheonea I, 2021, J FOOD ENG, V288, DOI 10.1016/j.jfoodeng.2020.110166; Gualberto NC, 2021, FOOD RES INT, V147, DOI 10.1016/j.foodres.2021.110538; Haas K, 2019, J FOOD ENG, V263, P398, DOI 10.1016/j.jfoodeng.2019.07.025; Homayouni-Rad A, 2021, BIOCATAL AGR BIOTECH, V35, DOI 10.1016/j.bcab.2021.102075; Iturriaga L, 2009, ACTA HORTIC, V811, P427, DOI 10.17660/ActaHortic.2009.811.59; Jiang Y, 2018, CARBOHYD POLYM, V197, P174, DOI 10.1016/j.carbpol.2018.06.001; De Brito CAK, 2009, B CTR PESQUI PROC AL, V27, P175; Kong KW, 2011, FOOD BIOPROD PROCESS, V89, P53, DOI 10.1016/j.fbp.2010.02.004; dos Santos WNL, 2017, MICROCHEM J, V133, P583, DOI 10.1016/j.microc.2017.04.029; Medina-Torres L, 2019, IND CROP PROD, V138, DOI 10.1016/j.indcrop.2019.06.024; Medina-Torres L, 2016, LWT-FOOD SCI TECHNOL, V66, P93, DOI 10.1016/j.lwt.2015.10.023; Medina-Torres L, 2013, LWT-FOOD SCI TECHNOL, V50, P642, DOI 10.1016/j.lwt.2012.07.038; Neto AAM, 2021, FOOD HYDROCOLLOID, V112, DOI 10.1016/j.foodhyd.2020.106333; Nagarajan J, 2017, NUTRACEUTICAL AND FUNCTIONAL FOOD COMPONENTS: EFFECTS OF INNOVATIVE PROCESSING TECHNIQUES, P259, DOI 10.1016/B978-0-12-805257-0.00008-9; Ortiz-Basurto RI, 2017, CARBOHYD POLYM, V175, P603, DOI 10.1016/j.carbpol.2017.08.030; Osorio C, 2011, FOOD RES INT, V44, P1174, DOI 10.1016/j.foodres.2010.09.007; Otalora MC, 2021, POLYMERS-BASEL, V13, DOI 10.3390/polym13111689; Quinzio C, 2018, J FOOD MEAS CHARACT, V12, P459, DOI 10.1007/s11694-017-9659-2; Re R, 1999, FREE RADICAL BIO MED, V26, P1231, DOI 10.1016/S0891-5849(98)00315-3; Rehman A, 2020, ADV COLLOID INTERFAC, V275, DOI 10.1016/j.cis.2019.102048; Santos PDD, 2021, FOOD RES INT, V147, DOI 10.1016/j.foodres.2021.110571; Shishir MRI, 2014, AGRIC AGRIC SCI PROC, V2, P74, DOI 10.1016/j.aaspro.2014.11.011; Soottitantawat A, 2005, INNOV FOOD SCI EMERG, V6, P107, DOI 10.1016/j.ifset.2004.09.003; Soukoulis C, 2018, CURR OPIN FOOD SCI, V22, P28, DOI 10.1016/j.cofs.2018.01.004; Souza ALR, 2018, LWT-FOOD SCI TECHNOL, V91, P286, DOI 10.1016/j.lwt.2018.01.053; Sun XW, 2018, RSC ADV, V8, P35139, DOI 10.1039/c8ra05621h; Thaipong K, 2006, J FOOD COMPOS ANAL, V19, P669, DOI 10.1016/j.jfca.2006.01.003; Vasconcelos AG, 2020, FOOD RES INT, V136, DOI 10.1016/j.foodres.2020.109548; Vasconcelos AG, 2017, FOOD RES INT, V99, P959, DOI 10.1016/j.foodres.2017.01.017</t>
  </si>
  <si>
    <t>MDPI</t>
  </si>
  <si>
    <t>BASEL</t>
  </si>
  <si>
    <t>ST ALBAN-ANLAGE 66, CH-4052 BASEL, SWITZERLAND</t>
  </si>
  <si>
    <t>2073-4360</t>
  </si>
  <si>
    <t>POLYMERS-BASEL</t>
  </si>
  <si>
    <t>Polymers</t>
  </si>
  <si>
    <t>JAN</t>
  </si>
  <si>
    <t>10.3390/polym14020310</t>
  </si>
  <si>
    <t>Polymer Science</t>
  </si>
  <si>
    <t>Science Citation Index Expanded (SCI-EXPANDED)</t>
  </si>
  <si>
    <t>ZD9BD</t>
  </si>
  <si>
    <t>gold, Green Published</t>
  </si>
  <si>
    <t>2023-06-06</t>
  </si>
  <si>
    <t>WOS:000758488500001</t>
  </si>
  <si>
    <t>Cardenas, LPS; Soler, KAA; Gonzalez, DNL; Nunez, WRE; Cardenas-Chaparro, A; Duchowicz, PR; Castano, JGA</t>
  </si>
  <si>
    <t>Prieto Cardenas, Lina S.; Arias Soler, Karen A.; Nossa Gonzalez, Diana L.; Rozo Nunez, Wilson E.; Cardenas-Chaparro, Agobardo; Duchowicz, Pablo R.; Gomez Castano, Jovanny A.</t>
  </si>
  <si>
    <t>In Silico Antiprotozoal Evaluation of 1,4-Naphthoquinone Derivatives against Chagas and Leishmaniasis Diseases Using QSAR, Molecular Docking, and ADME Approaches</t>
  </si>
  <si>
    <t>PHARMACEUTICALS</t>
  </si>
  <si>
    <t>chagas; leishmaniasis; naphthoquinones; antiprotozoal evaluation; QSAR; molecular docking; ADME</t>
  </si>
  <si>
    <t>TRYPANOSOMA-CRUZI ACTIVITY; POTENT ANTITUMOR-ACTIVITY; POLAR SURFACE-AREA; BETA-LAPACHONE; TRYPANOTHIONE REDUCTASE; CRYSTAL-STRUCTURE; DRUG DISCOVERY; DESCRIPTORS; SOLUBILITY; PREDICTION</t>
  </si>
  <si>
    <t>Chagas and leishmaniasis are two neglected diseases considered as public health problems worldwide, for which there is no effective, low-cost, and low-toxicity treatment for the host. Naphthoquinones are ligands with redox properties involved in oxidative biological processes with a wide variety of activities, including antiparasitic. In this work, in silico methods of quantitative structure-activity relationship (QSAR), molecular docking, and calculation of ADME (absorption, distribution, metabolism, and excretion) properties were used to evaluate naphthoquinone derivatives with unknown antiprotozoal activity. QSAR models were developed for predicting antiparasitic activity against Trypanosoma cruzi, Leishmania amazonensis, and Leishmania infatum, as well as the QSAR model for toxicity activity. Most of the evaluated ligands presented high antiparasitic activity. According to the docking results, the family of triazole derivatives presented the best affinity with the different macromolecular targets. The ADME results showed that most of the evaluated compounds present adequate conditions to be administered orally. Naphthoquinone derivatives show good biological activity results, depending on the substituents attached to the quinone ring, and perhaps the potential to be converted into drugs or starting molecules.</t>
  </si>
  <si>
    <t>[Prieto Cardenas, Lina S.; Arias Soler, Karen A.; Nossa Gonzalez, Diana L.; Rozo Nunez, Wilson E.; Cardenas-Chaparro, Agobardo; Gomez Castano, Jovanny A.] Univ Pedag &amp; Tecnol Colombia UPTC, Fac Ciencias, Grp Quim Fis Mol &amp; Modelamiento Computac QUIMOL, Ave Cent Norte, Tunja 050030, Colombia; [Duchowicz, Pablo R.] Univ Nacl La Plata, Inst Invest Fisicoquim Teor &amp; Aplicadas, CONICET, Diagonal 113 &amp; Calle 64,CC 16,Sucursal 4, RA-1900 La Plata, Argentina</t>
  </si>
  <si>
    <t>Universidad Pedagogica y Tecnologica de Colombia (UPTC); Consejo Nacional de Investigaciones Cientificas y Tecnicas (CONICET); National University of La Plata; INIFTA</t>
  </si>
  <si>
    <t>Castano, JGA (corresponding author), Univ Pedag &amp; Tecnol Colombia UPTC, Fac Ciencias, Grp Quim Fis Mol &amp; Modelamiento Computac QUIMOL, Ave Cent Norte, Tunja 050030, Colombia.</t>
  </si>
  <si>
    <t>lina.prieto02@uptc.edu.coY; karen.arias02@uptc.edu.co; dlissethn@gmail.com; wilson.rozo@uptc.edu.co; agobardo.cardenas01@uptc.edu.co; pabloducho@gmail.com; jovanny.gomez@uptc.edu.co</t>
  </si>
  <si>
    <t>Gómez Castaño, Jovanny A./0000-0002-6654-1315; Rozo Nunez, Wilson Elias/0000-0003-2504-7449; PRIETO CARDENAS, LINA SOFIA/0000-0003-3127-4007; Arias Soler, Karen Astrid/0000-0002-8921-7200</t>
  </si>
  <si>
    <t>Universidad Pedagogica y Tecnologica de Colombia (UPTC) [SGI2033, SGI2949, SGI3038, SGI3188]; Direccion de Investigaciones (DIN)</t>
  </si>
  <si>
    <t>Universidad Pedagogica y Tecnologica de Colombia (UPTC); Direccion de Investigaciones (DIN)</t>
  </si>
  <si>
    <t>This research was funded by the Universidad Pedagogica y Tecnologica de Colombia (UPTC) through projects SGI2033, SGI2949, SGI3038, and SGI3188 of the Direccion de Investigaciones (DIN).</t>
  </si>
  <si>
    <t>Ali J, 2012, J CHEM INF MODEL, V52, P420, DOI 10.1021/ci200387c; Alonso-Padilla J, 2014, PLOS NEGLECT TROP D, V8, DOI 10.1371/journal.pntd.0003259; Andrew G., 2016, CHEMOMETRICS APPLOCA, V1, P366; [Anonymous], ENFERMEDAD CHAGAS OP; [Anonymous], Insubria QSAR PaDEL-Descriptor Model for Prediction of Endocrine Disruptors Chemicals (EDC) Estrogen Receptor (ER)-Binding Affinity; [Anonymous], 2021, ACD CHEMSKETCH VERS; Arias DG, 2017, EUR J MED CHEM, V125, P1088, DOI 10.1016/j.ejmech.2016.10.055; Bahia SBB, 2016, MEDCHEMCOMM, V7, P1555, DOI 10.1039/c6md00216a; Baiju TV, 2018, EUR J MED CHEM, V151, P686, DOI 10.1016/j.ejmech.2018.03.079; Baiocco P, 2009, J MED CHEM, V52, P2603, DOI 10.1021/jm900185q; Becerra NA, 2021, MED CHEM RES, V30, P2256, DOI 10.1007/s00044-021-02809-3; Bhal S.K., 2007, ADV CHEM DEV ACD LAB; Bhal SK, 2007, MOL PHARMACEUT, V4, P556, DOI 10.1021/mp0700209; Bond CS, 1999, STRUCTURE, V7, P81, DOI 10.1016/S0969-2126(99)80011-2; Braga SS, 2019, EUR J MED CHEM, V183, DOI 10.1016/j.ejmech.2019.111660; Cardoso MFC, 2022, J BRAZIL CHEM SOC, V33, P238, DOI 10.21577/0103-5053.20210142; Cardoso-Silva J, 2019, MOL INFORM, V38, DOI 10.1002/minf.201800028; Chen CK, 2010, PLOS NEGLECT TROP D, V4, DOI 10.1371/journal.pntd.0000651; Ciubotariu D, 2004, MOLECULES, V9, P1053, DOI 10.3390/91201053; Coura JR, 2009, MEM I OSWALDO CRUZ, V104, P549, DOI 10.1590/S0074-02762009000400002; Coura JR, 2002, MEM I OSWALDO CRUZ, V97, P3, DOI 10.1590/S0074-02762002000100001; Araujo IAC, 2019, EXP PARASITOL, V199, P67, DOI 10.1016/j.exppara.2019.02.013; D'Antonio EL, 2013, ARCH BIOCHEM BIOPHYS, V535, P163, DOI 10.1016/j.abb.2013.03.015; da Cruz EHG, 2014, BIOORGAN MED CHEM, V22, P1608, DOI 10.1016/j.bmc.2014.01.033; da Cunha EFF, 2004, J MOL MODEL, V10, P297, DOI 10.1007/s00894-004-0198-5; da Cunha EF, 2011, J ANTIMICROB CHEMOTH, V66, P1555, DOI 10.1093/jac/dkr158; da Silva AJM, 2009, J BRAZIL CHEM SOC, V20, P176, DOI 10.1590/S0103-50532009000100026; Silva EN, 2008, EUR J MED CHEM, V43, P1774, DOI 10.1016/j.ejmech.2007.10.015; da Silva EN, 2008, BIOORGAN MED CHEM, V16, P5030, DOI 10.1016/j.bmc.2008.03.032; da Silva EN, 2007, BIOORGAN MED CHEM, V15, P7035, DOI 10.1016/j.bmc.2007.07.043; da Silva EN, 2012, EUR J MED CHEM, V52, P304, DOI 10.1016/j.ejmech.2012.03.039; da Silva PR, 2020, CHEM-BIOL INTERACT, V315, DOI 10.1016/j.cbi.2019.108899; Daina A, 2017, SCI REP-UK, V7, DOI 10.1038/srep42717; Daina A, 2016, CHEMMEDCHEM, V11, P1117, DOI 10.1002/cmdc.201600182; de Araujo MV, 2017, EXP PARASITOL, V176, P46, DOI 10.1016/j.exppara.2017.02.004; de Araujo MV, 2014, MOLECULES, V19, P15180, DOI 10.3390/molecules190915180; de Azevedo, 2019, DOCKING SCREENS DRUG; De Azevedo WF, 2010, CURR DRUG TARGETS, V11, P327, DOI 10.2174/138945010790711941; de Lima EC, 2019, BIOORGAN MED CHEM, V27, P3853, DOI 10.1016/j.bmc.2019.07.022; de Souza EM, 2004, BIOCHEM PHARMACOL, V68, P593, DOI 10.1016/j.bcp.2004.04.019; Delaney JS, 2004, J CHEM INF COMP SCI, V44, P1000, DOI 10.1021/ci034243x; Deodhar M, 2020, PHARMACEUTICS, V12, DOI 10.3390/pharmaceutics12090846; Di Giorgio C, 2003, ANTIMICROB AGENTS CH, V47, P174, DOI 10.1128/AAC.47.1.174-180.2003; Diogo EBT, 2013, BIOORGAN MED CHEM, V21, P6337, DOI 10.1016/j.bmc.2013.08.055; Dos Santos Naujorks A.A., 2018, J MATER CHEM B, V6, P1, DOI [10.1039/x0xx00000x, DOI 10.1039/X0XX00000X]; Durant JL, 2002, J CHEM INF COMP SCI, V42, P1273, DOI 10.1021/ci010132r; Egan WJ, 2000, J MED CHEM, V43, P3867, DOI 10.1021/jm000292e; Estrada E, 2001, J MOL GRAPH MODEL, V20, P54, DOI 10.1016/S1093-3263(01)00100-0; Chacon-Vargas KF, 2017, MOLECULES, V22, DOI 10.3390/molecules22020220; Faioes VD, 2018, J VENOM ANIM TOXINS, V24, DOI 10.1186/s40409-018-0174-7; Fernandes J, 2009, J MED CHEM, V52, P1214, DOI 10.1021/jm801389m; Ferreira SB, 2011, EUR J MED CHEM, V46, P3071, DOI 10.1016/j.ejmech.2011.03.012; Finch A, 2014, AUST PRESCR, V37, P137, DOI DOI 10.18773/AUSTPRESCR.2014.050; FRISCH MJ, 1998, GAUSSIAN 98, P98; Garcia-Jacas CR, 2014, J COMPUT CHEM, V35, P1395, DOI 10.1002/jcc.23640; Martinez JCG, 2017, MED CHEM RES, V26, P247, DOI 10.1007/s00044-016-1742-4; Ghose AK, 1999, J COMB CHEM, V1, P55, DOI 10.1021/cc9800071; Ghose AK, 1998, J PHYS CHEM A, V102, P3762, DOI 10.1021/jp980230o; GHOSE AK, 1987, J CHEM INF COMP SCI, V27, P21, DOI 10.1021/ci00053a005; Golbraikh A, 2002, J MOL GRAPH MODEL, V20, P269, DOI 10.1016/S1093-3263(01)00123-1; Gomes CL, 2021, PHYTOCHEMISTRY, V186, DOI 10.1016/j.phytochem.2021.112713; Gonzalez DLN, 2021, J MOL GRAPH MODEL, V103, DOI 10.1016/j.jmgm.2020.107821; Gozalbes R., 2002, Current Drug Targets - Infectious Disorders, V2, P93; Gramatica P, 2007, QSAR COMB SCI, V26, P694, DOI 10.1002/qsar.200610151; Guimaraes TT, 2013, EUR J MED CHEM, V63, P523, DOI 10.1016/j.ejmech.2013.02.038; HOFFMANN R, 1997, HYLE, V3, P3; Ibrahim ZY, 2020, HELIYON, V6, DOI 10.1016/j.heliyon.2020.e05032; Ilari A, 2012, AMINO ACIDS, V42, P803, DOI 10.1007/s00726-011-0997-9; Inacio Filho J.D., 2018, THESIS FUNDACAO O CR; Jardim GAM, 2017, EUR J MED CHEM, V136, P406, DOI 10.1016/j.ejmech.2017.05.011; Jentzsch J, 2020, CHEM BIODIVERS, V17, DOI 10.1002/cbdv.201900597; Martinez MJ, 2015, J CHEMINFORMATICS, V7, DOI 10.1186/s13321-015-0092-4; Kanyo ZF, 1996, NATURE, V383, P554, DOI 10.1038/383554a0; Kim YS, 2003, BIOORGAN MED CHEM, V11, P1709, DOI 10.1016/S0968-0896(03)00028-2; Klekota J, 2008, BIOINFORMATICS, V24, P2518, DOI 10.1093/bioinformatics/btn479; Laboratoire de Chemoinformatique, US; Laboratory of Chemoinformatique, 2013, US; Lanez T., 2015, INT J PHARMTECH RES, V8, P408, DOI [10.4314/jfas.v3i2.7, DOI 10.4314/JFAS.V3I2.7]; Lima NMF, 2004, MEM I OSWALDO CRUZ, V99, P757, DOI 10.1590/S0074-02762004000700017; Lipinski CA, 2012, ADV DRUG DELIVER REV, V64, P4, DOI 10.1016/j.addr.2012.09.019; Liu ZX, 2018, BIOORG MED CHEM LETT, V28, P2454, DOI 10.1016/j.bmcl.2018.06.007; Lobenberg R., 2013, THER DELIV, P8, DOI [10.4155/EBO.13.349, DOI 10.4155/EBO.13.349, 10.4155/ebo.13.349]; LÓPEZ LÓPEZ Lluvia Itzel, 2014, Vitae, V21, P248; Mahanthesh MT., 2020, J PHARMACOGNOSY PHYT, V9, P799; Manjolin LC, 2013, FOOD CHEM, V141, P2253, DOI 10.1016/j.foodchem.2013.05.025; Martin YC, 2005, J MED CHEM, V48, P3164, DOI 10.1021/jm0492002; MathWorks Inc, 2019, MATLAB; Menna-Barreto RFS, 2007, PARASITOL RES, V101, P895, DOI 10.1007/s00436-007-0556-1; Menna-Barreto RFS, 2009, PARASITOLOGY, V136, P499, DOI 10.1017/S0031182009005745; Menna-Barreto RFS, 2005, J ANTIMICROB CHEMOTH, V56, P1034, DOI 10.1093/jac/dki403; Mercader AG, 2010, J CHEM INF MODEL, V50, P1542, DOI 10.1021/ci100103r; Mold2_FDA, US; Molegro A., 2019, MOL VIRT DOCK MAN CO; Moreno MA, 2014, ACTA CRYSTALLOGR F, V70, P583, DOI 10.1107/S2053230X14007845; Muegge I, 2001, J MED CHEM, V44, P1841, DOI 10.1021/jm015507e; OECD, 2007, OECD SER TEST ASS, V69, DOI 10.1787/9789264085442-en; Ogu C C, 2000, Proc (Bayl Univ Med Cent), V13, P421; Osorio Edison J, 2005, Biomed., V25, P242; Pacheco PAF, 2019, BIOORGAN MED CHEM, V27, P1449, DOI 10.1016/j.bmc.2018.11.036; Pandey RK, 2017, J RECEPT SIG TRANSD, V37, P60, DOI 10.3109/10799893.2016.1171344; Pinto AV, 1997, ARZNEIMITTEL-FORSCH, V47, P74; Pinto EG, 2014, PLOS ONE, V9, DOI 10.1371/journal.pone.0105127; POTTS RO, 1992, PHARMACEUT RES, V9, P663, DOI 10.1023/A:1015810312465; Prasanna S, 2009, CURR MED CHEM, V16, P21, DOI 10.2174/092986709787002817; Putz MV, 2011, INT J MOL SCI, V12, P5098, DOI 10.3390/ijms12085098; Ramirez O, 2014, PLOS ONE, V9, DOI 10.1371/journal.pone.0106828; Ramirez-Macias I, 2012, PARASITOL INT, V61, P405, DOI 10.1016/j.parint.2012.02.001; Ramos EI, 2009, J PARASITOL, V95, P461, DOI 10.1645/GE-1686.1; Ranjith D., 2019, J PHARMACOGN PHYTOCH, V8, P2063, DOI DOI 10.22271/PHYTO; Reynolds K.A., 2012, THESIS GRIFFITH U BR; Roy K, 2007, EXPERT OPIN DRUG DIS, V2, P1567, DOI 10.1517/17460441.2.12.1567; Ryu Chung-Kyu, 1993, Archives of Pharmacal Research (Seoul), V16, P161; Salomao K, 2013, BMC MICROBIOL, V13, DOI 10.1186/1471-2180-13-196; Samuelson J, 1999, ANTIMICROB AGENTS CH, V43, P1533, DOI 10.1128/AAC.43.7.1533; Santoyo J., 2014, REV HOSP JUA MEX, V81, P250; Scarim CB, 2019, EUR J MED CHEM, V162, P378, DOI 10.1016/j.ejmech.2018.11.013; Schmunis GA, 2010, ACTA TROP, V115, P14, DOI 10.1016/j.actatropica.2009.11.003; Silva LR, 2021, BIOORGAN MED CHEM, V41, DOI 10.1016/j.bmc.2021.116213; Silva RSE, 2007, J BRAZIL CHEM SOC, V18, P759, DOI 10.1590/S0103-50532007000400014; Singh BK, 2008, BMB REP, V41, P444, DOI 10.5483/BMBRep.2008.41.6.444; Tandon H, 2021, MOL DIVERS, V25, P249, DOI 10.1007/s11030-020-10062-w; Tapia RA, 2002, EUR J ORG CHEM, V2002, P4005, DOI 10.1002/1099-0690(200212)2002:23&lt;4005::AID-EJOC4005&gt;3.0.CO;2-L; Teixiera MJ, 2001, PHYTOTHER RES, V15, P44, DOI 10.1002/1099-1573(200102)15:1&amp;lt;44::AID-PTR685&amp;gt;3.0.CO;2-1; Thomsen R, 2006, J MED CHEM, V49, P3315, DOI 10.1021/jm051197e; Thurston BA, 2018, MOL SIMULAT, V44, P930, DOI 10.1080/08927022.2018.1469754; Urbina JA, 2009, MEM I OSWALDO CRUZ, V104, P311, DOI 10.1590/S0074-02762009000900041; Valderrama JA, 2005, BIOORGAN MED CHEM, V13, P4153, DOI 10.1016/j.bmc.2005.04.041; Valderrama JA, 2003, BIOORGAN MED CHEM, V11, P4713, DOI 10.1016/j.bmc.2003.08.011; Valdes-Martini JR, 2017, J CHEMINFORMATICS, V9, DOI 10.1186/s13321-017-0211-5; Valdez RH, 2009, ACTA TROP, V110, P7, DOI 10.1016/j.actatropica.2008.11.008; Veber DF, 2002, J MED CHEM, V45, P2615, DOI 10.1021/jm020017n; Veerasamy R., 2011, INT J DRUG DES DIS, V2, P511, DOI DOI 10.1016/J.FEBSLET.2005.06.031; Venkatesan SK, 2010, J COMPUT CHEM, V31, P2463, DOI 10.1002/jcc.21538; Yap CW, 2011, J COMPUT CHEM, V32, P1466, DOI 10.1002/jcc.21707; Zafar F, 2020, ACS OMEGA, V5, P6021, DOI 10.1021/acsomega.9b04398</t>
  </si>
  <si>
    <t>1424-8247</t>
  </si>
  <si>
    <t>PHARMACEUTICALS-BASE</t>
  </si>
  <si>
    <t>Pharmaceuticals</t>
  </si>
  <si>
    <t>JUN</t>
  </si>
  <si>
    <t>10.3390/ph15060687</t>
  </si>
  <si>
    <t>Chemistry, Medicinal; Pharmacology &amp; Pharmacy</t>
  </si>
  <si>
    <t>Pharmacology &amp; Pharmacy</t>
  </si>
  <si>
    <t>2K9TS</t>
  </si>
  <si>
    <t>Green Published, gold</t>
  </si>
  <si>
    <t>WOS:000816669900001</t>
  </si>
  <si>
    <t>Moreno-Medina, BL; Casierra-Posada, F; Medina-Vargas, OJ</t>
  </si>
  <si>
    <t>Moreno-Medina, Brigitte Liliana; Casierra-Posada, Fanor; Medina-Vargas, Oscar Julio</t>
  </si>
  <si>
    <t>Phenolic Profile and Antioxidant Capacity of Blackberry Fruits (Rubus spp) Grown in Colombia</t>
  </si>
  <si>
    <t>ERWERBS-OBSTBAU</t>
  </si>
  <si>
    <t>Article; Early Access</t>
  </si>
  <si>
    <t>ABTS (2,2'-azino-bis 3-ethylbenzothiazoline-6-sulfonic acid); DPPH (2,2-diphenyl-1-picrylhydrazyl); Color-Cielab; Polyphenols; Flavonoids</t>
  </si>
  <si>
    <t>ANTHOCYANINS</t>
  </si>
  <si>
    <t>Worldwide, the market and consumption of berries has shown an increase as a result of the versatility that the fruit presents when marketed in different presentations. Their nutritional properties and the content of phenolic compounds (anthocyanins), which provide benefits such as antioxidants, antimicrobials, anti-inflammatory, and chemopreventive properties, are also favorable. The aim of this study is to determine the phenolic profile and antioxidant capacity in blackberry fruits grown in Boyaca, Colombia. The study describes the content of phenolic compounds (carried out using the Folin-Ciocalteu method), the antioxidant capacity (2,2-diphenyl-1-picrylhydrazyl [DPPH] and 2,2 &amp; PRIME;-azino-bis-3-ethylbenzothiazoline-6-sulphonic acid [ABTS]), the content of anthocyanins (differential pH method), color (CIELAB system), and the profiles of phenolic compounds (ultra-high performance liquid chromatography [UHPLC]) in fruits of three species of fully mature blackberries (Rubus sp.). In the species of the genus Rubus studied, anthocyanins (within 257-264 mg cyanidin-3-O-glycoside equivalent 100 g(-1)) and certain flavonoids contribute significantly to color, antioxidant capacity, and a number of bioactive attributes. Nine phenolic compounds were found in representative concentrations for each species (catechin, epicatechin, pinocembrin, quercetin, and anthocyanins of different types). Additionally, this study is the first to identify the phenolic profile in fruits of R. alutaceus and identify the compound kaempferol-3-glucoside (5.8 mg kg) as a possible chemotaxonomic marker of the species.</t>
  </si>
  <si>
    <t>[Moreno-Medina, Brigitte Liliana; Casierra-Posada, Fanor] Univ Pedag &amp; Tecnol Colombia, Fac Agr Sci, Agr Engn Program, Tunja, Colombia; [Medina-Vargas, Oscar Julio] Univ Pedag &amp; Tecnol Colombia, Fac Sci, Chem Program, Tunja, Colombia</t>
  </si>
  <si>
    <t>Universidad Pedagogica y Tecnologica de Colombia (UPTC); Universidad Pedagogica y Tecnologica de Colombia (UPTC)</t>
  </si>
  <si>
    <t>Moreno-Medina, BL (corresponding author), Univ Pedag &amp; Tecnol Colombia, Fac Agr Sci, Agr Engn Program, Tunja, Colombia.</t>
  </si>
  <si>
    <t>brigitte.moreno@uptc.edu.co</t>
  </si>
  <si>
    <t>Casierra-Posada, Fanor/0000-0001-7508-5174; Moreno - Medina, Brigitte Liliana/0000-0003-0920-2744</t>
  </si>
  <si>
    <t>Universidad Pedagogica y Tecnologica de Colombia (UPTC); Ministry of Science, Technology, and Innovation of Colombia (Minciencias, before Colciencias); Gobernacion de Boyaca [733/2015]</t>
  </si>
  <si>
    <t>Universidad Pedagogica y Tecnologica de Colombia (UPTC); Ministry of Science, Technology, and Innovation of Colombia (Minciencias, before Colciencias); Gobernacion de Boyaca</t>
  </si>
  <si>
    <t>This study was supported by the Universidad Pedagogica y Tecnologica de Colombia (UPTC), the Ministry of Science, Technology, and Innovation of Colombia &lt;SUP&gt;(&lt;/SUP&gt;Minciencias, before Colciencias), and the Gobernacion de Boyaca, call 733/2015.</t>
  </si>
  <si>
    <t>Klaric DA, 2020, FOODS, V9, DOI 10.3390/foods9111623; Andersen OM, 2010, COMPREHENSIVE NATURAL PRODUCTS II: CHEMISTRY AND BIOLOGY, VOL 3: DEVELOPMENT &amp; MODIFICATION OF BIOACTIVITY, P547; Arango-Varela SS, 2021, J BERRY RES, V11, P377, DOI 10.3233/JBR-200684; Garzon GA, 2020, HELIYON, V6, DOI 10.1016/j.heliyon.2020.e03845; Ballestero S, 2004, RECURSO FITOGENETICO, V17, P18; BRAND-WILLIAMS W, 1995, FOOD SCI TECHNOL-LEB, V28, P25; Chalker-Scott L, 1999, PHOTOCHEM PHOTOBIOL, V70, P1, DOI 10.1111/j.1751-1097.1999.tb01944.x; Coronado MA, 2014, REV MEX AGRONEG, V34, P784; Croge CP, 2019, HORTSCIENCE, V54, P2209, DOI 10.21273/HORTSCI14377-19; Machado APD, 2017, FOOD CHEM, V231, P1, DOI 10.1016/j.foodchem.2017.03.060; Edgley M, 2020, SCI HORTIC-AMSTERDAM, V272, DOI 10.1016/j.scienta.2020.109555; Eppel A, 2013, PLANT SCI, V201, P74, DOI 10.1016/j.plantsci.2012.12.002; Eyduran SP, 2015, BIOL RES, V48, DOI 10.1186/0717-6287-48-2; Fuentes Lorenzo Jorge Luis, 2019, Rev. acad. colomb. cienc. exact. fis. nat., V43, P550, DOI 10.18257/raccefyn.841; Gecer MK, 2022, PLANTS-BASEL, V11, DOI 10.3390/plants11101368; Giusti M., 2001, CURR PROTOCOLS FOOD, V1, P1, DOI [10.1002/0471142913.faf0102-00, DOI 10.1002/0471142913.FAF0102-00, DOI 10.1002/0471142913.FAF0102S00]; Hummer KE, 2010, HORTSCIENCE, V45, P1587, DOI 10.21273/HORTSCI.45.11.1587; IDEAM-Instituto de hidrologia meteorologia y estudios ambientales, 2010, SUBD MET; Kumar S, 2013, SCI WORLD J, DOI 10.1155/2013/162750; Kuskoski E. Marta, 2005, Food Sci. Technol (Campinas), V25, P726, DOI 10.1590/S0101-20612005000400016; Moreno-Medina BL, 2021, REV BRAS FRUTIC, V43, DOI 10.1590/0100-29452021713; Liu Y, 2018, FRONT CHEM, V6, DOI 10.3389/fchem.2018.00052; Lu YF, 2017, J PHOTOCH PHOTOBIO B, V168, P40, DOI 10.1016/j.jphotobiol.2017.01.017; Martin-Rivilla H, 2021, J SCI FOOD AGR, V101, P205, DOI 10.1002/jsfa.10632; Moraes DP, 2020, FOOD CHEM, V322, DOI 10.1016/j.foodchem.2020.126783; MORENO-MEDINA BRIGITTE LILIANA, 2016, rev.colomb.cienc.hortic., V10, P28, DOI 10.17584/rcch.2016v10i1.4457; Moreno-Medina BL, 2020, REV BRAS FRUTIC, V42, DOI 10.1590/0100-29452020542; Muniyandi K, 2019, FOOD SCI HUM WELL, V8, P73, DOI 10.1016/j.fshw.2019.03.005; Olivares-O Patricia, 2020, Int. J. Morphol., V38, P135; Oliveira BD, 2016, IND CROP PROD, V84, P59, DOI 10.1016/j.indcrop.2016.01.037; Padmanabhan P., 2016, ENCY FOOD HLTH, P364; Pandey N, 2019, PLANTA, V249, P497, DOI 10.1007/s00425-018-3022-7; Rincon Bonilla C, 2015, CULT CIENT, V13, P16; Rodríguez-Leyton Mylene, 2019, Rev. Fac. Med. Hum., V19, P105, DOI 10.25176/RFMH.v19.n2.2077; Samec D, 2021, PLANTS-BASEL, V10, DOI 10.3390/plants10010118; Sariburun E, 2010, J FOOD SCI, V75, pC328, DOI 10.1111/j.1750-3841.2010.01571.x; Schmitzer V, 2012, SCI HORTIC-AMSTERDAM, V146, P14, DOI 10.1016/j.scienta.2012.07.035; Schulz M, 2019, FOOD BIOSCI, V31, DOI 10.1016/j.fbio.2019.100438; Seeram NP, 2008, J AGR FOOD CHEM, V56, P630, DOI 10.1021/jf072504n; Shoeva OY, 2017, CEREAL RES COMMUN, V45, P47, DOI 10.1556/0806.44.2016.044; Toshima S, 2021, SCI HORTIC-AMSTERDAM, V285, DOI 10.1016/j.scienta.2021.110204; Wan CP, 2017, PLANTS-BASEL, V6, DOI 10.3390/plants6040044; Waterhouse L, 2001, HDB FOOD ANAL CHEM, P463; Wu YQ, 2021, LWT-FOOD SCI TECHNOL, V149, DOI 10.1016/j.lwt.2021.111825; Zorzi M, 2020, FOODS, V9, DOI 10.3390/foods9050623</t>
  </si>
  <si>
    <t>SPRINGER</t>
  </si>
  <si>
    <t>NEW YORK</t>
  </si>
  <si>
    <t>ONE NEW YORK PLAZA, SUITE 4600, NEW YORK, NY, UNITED STATES</t>
  </si>
  <si>
    <t>0014-0309</t>
  </si>
  <si>
    <t>1439-0302</t>
  </si>
  <si>
    <t>Erwerbs-Obstbau</t>
  </si>
  <si>
    <t>2022 DEC 15</t>
  </si>
  <si>
    <t>10.1007/s10341-022-00793-5</t>
  </si>
  <si>
    <t>DEC 2022</t>
  </si>
  <si>
    <t>Horticulture</t>
  </si>
  <si>
    <t>Agriculture</t>
  </si>
  <si>
    <t>7C0DV</t>
  </si>
  <si>
    <t>WOS:000899494200001</t>
  </si>
  <si>
    <t>Borda, J; Torres, R</t>
  </si>
  <si>
    <t>Borda, Johana; Torres, Robinson</t>
  </si>
  <si>
    <t>Prospects for Thiourea as a Leaching Agent in Colombian Gold Small-Scale Mining: A Comprehensive Review</t>
  </si>
  <si>
    <t>JOURNAL OF SUSTAINABLE MINING</t>
  </si>
  <si>
    <t>Review</t>
  </si>
  <si>
    <t>mining; gold; cyanide; thiourea</t>
  </si>
  <si>
    <t>CYANIDE; SILVER; ORE; RECOVERY; DECOMPOSITION; THIOSULFATE; EXTRACTION; REMOVAL</t>
  </si>
  <si>
    <t>Thiourea, as an alternative medium, is one of the most promising leaching agents for gold recovery by its commercial benefits and research challenges associated with performance and environmental impacts. This review article describes the operational conditions for the use of Thiourea vs cyanide, its chemistry, limitations, toxicity factors, environment, and recovery processes. Although thiourea gold extraction processes have not been applied on a large scale due to the instability of the reagent, its potential to overcome the limitations of cyanide is attractive to the process; with pH, potential, oxidant dosage, and temperature control, solubilized gold thiourea species are achieved. These can be recovered from the pregnant leach solution through methods such as activated carbon absorption and adsorption, polyurethane foams, ion exchange, and electrodeposition.</t>
  </si>
  <si>
    <t>[Borda, Johana; Torres, Robinson] Univ Pedag &amp; Tecnol Colombia, Escuela Ingn Met, Fac Ingn, Tunja, Colombia</t>
  </si>
  <si>
    <t>Borda, J (corresponding author), Univ Pedag &amp; Tecnol Colombia, Escuela Ingn Met, Fac Ingn, Tunja, Colombia.</t>
  </si>
  <si>
    <t>angelajohana.borda@uptc.edu.co</t>
  </si>
  <si>
    <t>Torres, Robinson/0000-0002-4033-0827; Borda, Johana/0000-0002-0540-0519</t>
  </si>
  <si>
    <t>VIE-SGI project; Grupo Metalurgia No Ferrosa of the Universidad Pedagogica y Tecnologica de Colombia UPTC</t>
  </si>
  <si>
    <t>The authors are grateful for the support received from the VIE-SGI project to carry out this research, as well as the Grupo Metalurgia No Ferrosa of the Universidad Pedagogica y Tecnologica de Colombia UPTC.</t>
  </si>
  <si>
    <t>Agencia Nacional de Mineria, 2022, COL MEJ RANK PROD OR; [Anonymous], 2013, LEY 1658 2013 MEDIO; Arias A, 2019, RECURSOS MINERALES C, V2; Bansah KJ, 2018, J CLEAN PROD, V202, P465, DOI 10.1016/j.jclepro.2018.08.150; Betancur-Corredor B, 2018, J CLEAN PROD, V199, P538, DOI 10.1016/j.jclepro.2018.07.142; Botz M.M., 2001, MIN ENV MANAG MIN J, V28, P30; BRAUN T, 1973, ANAL CHIM ACTA, V66, P419, DOI 10.1016/S0003-2670(01)82561-7; Bruger A, 2018, SCI TOTAL ENVIRON, V627, P1167, DOI 10.1016/j.scitotenv.2018.01.320; Calla-Choque D, 2020, HYDROMETALLURGY, V192, DOI 10.1016/j.hydromet.2020.105289; Calla-Choque D, 2016, J HAZARD MATER, V317, P440, DOI 10.1016/j.jhazmat.2016.05.085; Carrillo M, 2014, REV COLOMB MAT, P319; CICERONE RJ, 1983, J GEOPHYS RES-OCEANS, V88, P689, DOI 10.1029/JC088iC15p10689; Ciguenza-Riano, 2019, NOELIA; Corredor JAG, 2021, HELIYON, V7, DOI 10.1016/j.heliyon.2021.e07047; Dash RR, 2009, J HAZARD MATER, V163, P1, DOI 10.1016/j.jhazmat.2008.06.051; Eisele JA, 1988, BUMINESRI, P9181; El-Nadi YA, 2017, SEP PURIF REV, V46, P195, DOI 10.1080/15422119.2016.1240085; ERIKSSON G, 1979, ANAL CHIM ACTA-COMP, V3, P375; Esdaile LJ, 2018, CHEM-EUR J, V24, P6905, DOI 10.1002/chem.201704840; Gafner-Rojas CM, 2018, TOMO DERECHO AGUAS C, VI, P493; Gonen N, 2007, MINER ENG, V20, P559, DOI 10.1016/j.mineng.2006.11.003; Gonen N, 2003, HYDROMETALLURGY, V69, P169, DOI 10.1016/S0304-386X(03)00005-7; Gonz ~alez I, 2008, HYDROMETALLURGY 2008, P837; GROENEWALD T, 1977, J S AFR I MIN METALL, V77, P217; Guo XY, 2020, HYDROMETALLURGY, V194, DOI 10.1016/j.hydromet.2020.105330; Hilson G, 2020, GEOFORUM, V111, P125, DOI 10.1016/j.geoforum.2019.09.006; Holley EA, 2020, RESOUR POLICY, V67, DOI 10.1016/j.resourpol.2020.101696; ILO International Labour Organization, 2014, FORLAC TRENDS INF EM, P2009; Ingeominas, 2005, ZONAS POTENCIALES ME; Jeffrey MI, 2008, MINER ENG, V21, P443, DOI 10.1016/j.mineng.2008.01.006; Kleinbohl A, 2006, GEOPHYS RES LETT, V33, DOI 10.1029/2006GL026015; Lapidus-Lavine Terri Gretchen, 1992, THESIS U AUTONOMA ME; Li HY, 2020, J HAZARD MATER, V384, DOI 10.1016/j.jhazmat.2019.121456; Li JY, 2012, WASTE MANAGE, V32, P1209, DOI 10.1016/j.wasman.2012.01.026; Li SH, 2005, ENVIRON GEOL, V47, P1150, DOI 10.1007/s00254-005-1253-y; Londo Molina, 2011, CREDENCIAL HISTORIA; Lopera Gonz ~alez MA, 2020, ESTUD POLIT-MEDELLIN, V58, P141, DOI [10.17533/udea.espo.n58a07, DOI 10.17533/UDEA.ESPO.N58A07]; Machacek J, 2019, SUSTAINABILITY-BASEL, V11, DOI 10.3390/su11113027; Marsden JO., 2009, CHEM GOLD EXTRACTION; MENSAHBINEY R, 1995, MINER ENG, V8, P125, DOI 10.1016/0892-6875(94)00108-O; Mpinga CN, 2014, HYDROMETALLURGY, V142, P36, DOI 10.1016/j.hydromet.2013.11.004; Muir DM, 2004, T I MIN METALL C, V113, P2, DOI 10.1179/037195504225004661; Murthy DSR, 2003, HYDROMETALLURGY, V68, P125, DOI 10.1016/S0304-386X(02)00197-4; NICNAS~National Industrial Chemicals Notification and Assessment Scheme Commonwealth of A, 2010, SOD CYAN; NIST, 2004, NIST STANDARD REFERE, V46; Ozcan E, 2012, ENVIRON TECHNOL, V33, P1913, DOI 10.1080/09593330.2011.650224; Paz-Cardona AJ, 2018, COLOMBIA BANS USE ME; Poisot-Diaz ME, 2008, HYDROMETALLURGY, V93, P23, DOI 10.1016/j.hydromet.2008.02.015; Prieto R, 2019, RECURSOS MINERALES C, V2, DOI [10.32685/9789585246980, DOI 10.32685/9789585246980]; Qin H, 2021, MINER ENG, V164, DOI 10.1016/j.mineng.2021.106822; Qin XL, 2017, 2017 IEEE INTERNATIONAL CONFERENCE ON PROGNOSTICS AND HEALTH MANAGEMENT (ICPHM), P1, DOI 10.1109/ICPHM.2017.7998297; Rettberg Angelika., 2018, DIFERENTES RECURSOS; Rochlin J, 2021, RESOUR POLICY, V73, DOI 10.1016/j.resourpol.2021.102135; Rochlin J, 2018, EXTRACT IND SOC, V5, P330, DOI 10.1016/j.exis.2018.03.008; Rubiano MJ, 2020, MINERIA ORO ARTESANA; Rudas G, 2013, LOCOMOTORA MINERA CR; Sheel Anvita, 2021, Bioresource Technology Reports, V15, DOI 10.1016/j.biteb.2021.100789; Specht D, 2017, NEW MEDIA SOC, V19, P1907, DOI 10.1177/1461444816644567; SWA~Safe Work Australia, 2013, GUID PREV RESP CYAN; Torres R, 2020, HYDROMETALLURGY, V197, DOI 10.1016/j.hydromet.2020.105461; Tran T, 2001, CYANIDE: SOCIAL, INDUSTRIAL AND ECONOMIC ASPECTS, P501; UNODC, 2019, MON TERR AF CULT IL; UNODC &amp; Gobierno de Colombia, 2018, EXPL OR AL EV PART P; UNODC &amp; Gobierno de Colombia, 2019, EXPL OR AL EV PART P; UNODC [United Nations Office on Drugs and Crime], 2018, MON TERR AF CULT IL; Veiga MM, 2019, EXTRACT IND SOC, V6, P223, DOI 10.1016/j.exis.2018.11.001; Wang CW, 2020, SEP PURIF TECHNOL, V241, DOI 10.1016/j.seppur.2020.116632; Whitehead JA, 2009, HYDROMETALLURGY, V98, P276, DOI 10.1016/j.hydromet.2009.05.012; Yang M, 2021, ACS APPL MATER INTER, V13, P38647, DOI 10.1021/acsami.1c05751; Yang XY, 2011, HYDROMETALLURGY, V106, P58, DOI 10.1016/j.hydromet.2010.11.018; Yang XY, 2010, ELECTROCHIM ACTA, V55, P3643, DOI 10.1016/j.electacta.2010.01.105; Yannopoulos JC, 1991, EXTRACTIVE METALLURG, DOI [10.1007/978-1-4684-8425-0, DOI 10.1007/978-1-4684-8425-0]; Zhang HG, 2004, HYDROMETALLURGY, V72, P291, DOI 10.1016/S0304-386X(03)00182-8; Zhang L, 2022, MINER ENG, V178, DOI 10.1016/j.mineng.2022.107403; Zhang XM, 2016, MIN PROC EXT MET REV, DOI [10.1080/08827508.2016, DOI 10.1080/08827508.2016]; Zhang Y, 2022, MINER ENG, V176, DOI 10.1016/j.mineng.2021.107336; Zheng S, 2006, MINER ENG, V19, P1301, DOI 10.1016/j.mineng.2005.12.009</t>
  </si>
  <si>
    <t>Glowny Instytut Gornictwa</t>
  </si>
  <si>
    <t>Katowice</t>
  </si>
  <si>
    <t>Plac Gwarkow 1, Katowice, POLAND</t>
  </si>
  <si>
    <t>2543-4950</t>
  </si>
  <si>
    <t>2300-3960</t>
  </si>
  <si>
    <t>J SUSTAIN MINING</t>
  </si>
  <si>
    <t>J. Sustainable Mining</t>
  </si>
  <si>
    <t>10.46873/2300-3960.1364</t>
  </si>
  <si>
    <t>Green &amp; Sustainable Science &amp; Technology; Mining &amp; Mineral Processing</t>
  </si>
  <si>
    <t>Emerging Sources Citation Index (ESCI)</t>
  </si>
  <si>
    <t>Science &amp; Technology - Other Topics; Mining &amp; Mineral Processing</t>
  </si>
  <si>
    <t>7C3FJ</t>
  </si>
  <si>
    <t>gold</t>
  </si>
  <si>
    <t>WOS:000899701600004</t>
  </si>
  <si>
    <t>Hurtado-Rodriguez, D; Salinas-Torres, A; Rojas, H; Becerra, D; Castillo, JC</t>
  </si>
  <si>
    <t>Hurtado-Rodriguez, Diana; Salinas-Torres, Angelica; Rojas, Hugo; Becerra, Diana; Castillo, Juan-Carlos</t>
  </si>
  <si>
    <t>Bioactive 2-pyridone-containing heterocycle syntheses using multicomponent reactions</t>
  </si>
  <si>
    <t>RSC ADVANCES</t>
  </si>
  <si>
    <t>ONE-POT SYNTHESIS; INTERCONVERSION MECHANISM; INFLAMMATORY RESPONSE; DERIVATIVES; INHIBITORS; DISCOVERY; APOPTOSIS; 2-HYDROXYPYRIDINES; QUINOLONE; MILRINONE</t>
  </si>
  <si>
    <t>2-Pyridone-containing heterocycles are considered privileged scaffolds in drug discovery due to their behavior as hydrogen bond donors and/or acceptors and nonpeptidic mimics, and remarkable physicochemical properties such as metabolic stability, solubility in water, and lipophilicity. This review provides a comprehensive overview of multicomponent reactions (MCRs) for the synthesis of 2-pyridone-containing heterocycles. In particular, it covers the articles published from 1999 to date related to anticancer, antibacterial, antifungal, anti-inflammatory, alpha-glucosidase inhibitor, and cardiotonic activities of 2-pyridone-containing heterocycles obtained exclusively by an MCR. The discussion focuses on bioactivity data, synthetic approaches, plausible reaction mechanisms, and molecular docking simulations to facilitate comparison and underscore the applications of the 2-pyridone motif in drug discovery and medicinal chemistry. We also present our conclusions and outlook for the future.</t>
  </si>
  <si>
    <t>[Hurtado-Rodriguez, Diana; Salinas-Torres, Angelica; Rojas, Hugo; Becerra, Diana; Castillo, Juan-Carlos] Univ Pedag &amp; Tecnol Colombia, UPTC, Escuela Ciencias Quim, Grp Catalisis, Ave Cent Norte 39-115, Tunja, Colombia</t>
  </si>
  <si>
    <t>Becerra, D; Castillo, JC (corresponding author), Univ Pedag &amp; Tecnol Colombia, UPTC, Escuela Ciencias Quim, Grp Catalisis, Ave Cent Norte 39-115, Tunja, Colombia.</t>
  </si>
  <si>
    <t>diana.becerra08@uptc.edu.co; juan.castillo06@uptc.edu.co</t>
  </si>
  <si>
    <t>Millán, Juan Castillo/AAM-5433-2020</t>
  </si>
  <si>
    <t>Millán, Juan Castillo/0000-0002-6060-2578; Becerra, Diana/0000-0001-5805-7454</t>
  </si>
  <si>
    <t xml:space="preserve"> [SGI-3073];  [SGI-3312]</t>
  </si>
  <si>
    <t xml:space="preserve">; </t>
  </si>
  <si>
    <t>The authors are grateful for financial support from Universidad Pedagogica y Tecnologica de Colombia. The authors thank to the Direccion de Investigaciones at the Universidad Pedagogica y Tecnologica de Colombia for financial support (project numbers SGI-3073 and SGI-3312).</t>
  </si>
  <si>
    <t>Abadi A, 1999, FARMACO, V54, P195, DOI 10.1016/S0014-827X(99)00004-X; Abadi AH, 2010, EUR J MED CHEM, V45, P90, DOI 10.1016/j.ejmech.2009.09.029; Abdelaziz ME, 2018, BIOORG CHEM, V80, P674, DOI 10.1016/j.bioorg.2018.07.024; Abonia R, 2013, ACS COMB SCI, V15, P2, DOI 10.1021/co300105t; Abonia R, 2012, EUR J MED CHEM, V57, P29, DOI 10.1016/j.ejmech.2012.08.039; Abonia R, 2010, EUR J ORG CHEM, V2010, P6454, DOI 10.1002/ejoc.201000678; Ahadi EM, 2021, IRAN J PHARM RES, V20, P456, DOI 10.22037/ijpr.2021.114749.15018; Amer MMK, 2021, J SAUDI CHEM SOC, V25, DOI 10.1016/j.jscs.2021.101259; Ansari MI, 2016, CHEMISTRYSELECT, V1, P4255, DOI 10.1002/slct.201600893; ASINGER F, 1956, ANGEW CHEM INT EDIT, V68, P413, DOI 10.1002/ange.19560681209; Bagrov AY, 2009, PHARMACOL REV, V61, P9, DOI 10.1124/pr.108.000711; Becerra D, 2022, MOLECULES, V27, DOI 10.3390/molecules27154723; BENSAUDE O, 1978, J AM CHEM SOC, V100, P7055, DOI 10.1021/ja00490a046; BENSAUDE O, 1979, J AM CHEM SOC, V101, P2423, DOI 10.1021/ja00503a031; Bienayme H, 1998, ANGEW CHEM INT EDIT, V37, P2234, DOI 10.1002/(SICI)1521-3773(19980904)37:16&lt;2234::AID-ANIE2234&gt;3.0.CO;2-R; Biginelli P., 1891, BER DTSCH CHEM GES, V24, P1317, DOI DOI 10.1002/CBER.189102401228; Boltjes A, 2019, EUR J ORG CHEM, V2019, P7007, DOI 10.1002/ejoc.201901124; Boraei ATA, 2021, BIOORG CHEM, V111, DOI 10.1016/j.bioorg.2021.104877; Bouz G, 2021, PHARMACEUTICALS-BASE, V14, DOI 10.3390/ph14121312; Castillo JC, 2020, ACS OMEGA, V5, P30148, DOI 10.1021/acsomega.0c04592; Chaudhury A, 2017, FRONT ENDOCRINOL, V8, DOI 10.3389/fendo.2017.00006; Cheney IW, 2007, BIOORG MED CHEM LETT, V17, P1679, DOI 10.1016/j.bmcl.2006.12.086; Coussens LM, 2002, NATURE, V420, P860, DOI 10.1038/nature01322; Croce MA, 1998, J TRAUMA, V45, P273, DOI 10.1097/00005373-199808000-00012; Domling A, 2012, CHEM REV, V112, P3083, DOI 10.1021/cr100233r; DORIGO P, 1994, FARMACO, V49, P19; Duan L, 2020, SYNTHESIS-STUTTGART, V52, P1680, DOI 10.1055/s-0039-1690871; EL-Hashash MA, 2021, J HETEROCYCLIC CHEM, V58, P329, DOI 10.1002/jhet.4175; Elejalde NR, 2018, CHEMISTRYSELECT, V3, P5220, DOI 10.1002/slct.201801238; Fadda AA, 2015, HETEROCYCLES, V91, P134, DOI 10.3987/COM-14-13129; Fayed EA, 2022, J MOL STRUCT, V1260, DOI 10.1016/j.molstruc.2022.132839; Fayed EA, 2021, BIOORG CHEM, V109, DOI 10.1016/j.bioorg.2021.104742; FIELDS EK, 1952, J AM CHEM SOC, V74, P1528, DOI 10.1021/ja01126a054; Geronikaki A, 2013, CURR TOP MED CHEM, V13, P2684, DOI 10.2174/15680266113136660195; GEWALD K, 1966, CHEM BER-RECL, V99, P94, DOI 10.1002/cber.19660990116; Hantzsch A., 1881, BER DTSCH CHEM GES, V14, P1637, DOI [10.1002/cber.18810140214, DOI 10.1002/CBER.18810140214]; Insuasty B, 2013, EUR J MED CHEM, V60, P1, DOI 10.1016/j.ejmech.2012.11.037; Insuasty D, 2020, MOLECULES, V25, DOI 10.3390/molecules25030505; Ismail MMF, 2020, J HETEROCYCLIC CHEM, V57, P3442, DOI 10.1002/jhet.4064; Jardosh HH, 2013, MED CHEM RES, V22, P2954, DOI 10.1007/s00044-012-0301-x; Jardosh HH, 2012, J SERB CHEM SOC, V77, P1561, DOI 10.2298/JSC120121039J; John SE, 2021, ORG CHEM FRONT, V8, P4237, DOI 10.1039/d0qo01480j; Kakuchi R, 2014, ANGEW CHEM INT EDIT, V53, P46, DOI 10.1002/anie.201305538; Kemnitzer W, 2004, J MED CHEM, V47, P6299, DOI 10.1021/jm049640t; Kerru N, 2020, MOLECULES, V25, DOI 10.3390/molecules25081909; Khajuria R, 2017, J CHEM SCI, V129, P1549, DOI 10.1007/s12039-017-1362-7; Khameneh B, 2019, ANTIMICROB RESIST IN, V8, DOI 10.1186/s13756-019-0559-6; KLEIN NA, 1981, AM J CARDIOL, V48, P170, DOI 10.1016/0002-9149(81)90587-7; Krishna A, 2020, CHEMISTRYSELECT, V5, P7967, DOI 10.1002/slct.202002082; Krishna A, 2019, CHEMISTRYSELECT, V4, P9987, DOI 10.1002/slct.201901866; Laurence C, 2009, J MED CHEM, V52, P4073, DOI 10.1021/jm801331y; Lin SB, 2022, FRONT CHEM, V10, DOI 10.3389/fchem.2022.869860; Loppinet-Serani A, 1998, J CHEM SOC PERK T 2, P937, DOI 10.1039/a706533g; Magedov IV, 2008, J MED CHEM, V51, P2561, DOI 10.1021/jm701499n; Magedov IV, 2007, BIOORG MED CHEM LETT, V17, P3872, DOI 10.1016/j.bmcl.2007.05.004; Mannich C., 1912, ARCH PHARM, V250, P647, DOI [DOI 10.1002/ARDP.19122500151, 10.1002/ardp.19122500151]; Mellini P, 2018, PHILOS T R SOC B, V373, DOI 10.1098/rstb.2017.0150; Mochizuki T, 1999, J BIOL CHEM, V274, P18659, DOI 10.1074/jbc.274.26.18659; MURAKAMI R, 1995, INT J CARDIOL, V51, P57, DOI 10.1016/0167-5273(95)02397-F; Neochoritis CG, 2019, CHEM REV, V119, P1970, DOI 10.1021/acs.chemrev.8b00564; OLDENZIEL OH, 1977, J ORG CHEM, V42, P3114, DOI 10.1021/jo00439a002; Ozil M, 2016, BIOORGAN MED CHEM, V24, P5103, DOI 10.1016/j.bmc.2016.08.024; PANDEY RC, 1981, J ANTIBIOT, V34, P1389, DOI 10.7164/antibiotics.34.1389; Pandit AB, 2018, J HETEROCYCLIC CHEM, V55, P983, DOI 10.1002/jhet.3128; Passerini M., 1921, GAZZ CHIM ITAL, V51, P126; Pierce AC, 2008, J MED CHEM, V51, P1972, DOI 10.1021/jm701248t; ROBINSON MK, 1990, TOXICOLOGY, V61, P91, DOI 10.1016/0300-483X(90)90012-6; Rock KL, 2008, ANNU REV PATHOL-MECH, V3, P99, DOI 10.1146/annurev.pathmechdis.3.121806.151456; Salinas-Torres A, 2023, J MOL STRUCT, V1274, DOI 10.1016/j.molstruc.2022.134414; Salinas-Torres A, 2022, MOLBANK, V2022, DOI 10.3390/M1387; Sangwan S, 2022, EUR J MED CHEM, V232, DOI 10.1016/j.ejmech.2022.114199; Sankaran M, 2014, MOL DIVERS, V18, P269, DOI 10.1007/s11030-013-9498-y; Strecker A., 1850, LIEBIGS ANN CHEM, V75, P27, DOI [DOI 10.1002/JLAC.18500750103, 10.1002/jlac.18500750103]; Sunderhaus JD, 2009, CHEM-EUR J, V15, P1300, DOI 10.1002/chem.200802140; Suresh L, 2016, BIOORG MED CHEM LETT, V26, P4007, DOI 10.1016/j.bmcl.2016.06.086; Tangella Y, 2017, ORG BIOMOL CHEM, V15, P6837, DOI 10.1039/c7ob01456b; UGI I, 1959, ANGEW CHEM INT EDIT, V71, P386; Venditto VJ, 2010, MOL PHARMACEUT, V7, P307, DOI 10.1021/mp900243b; Vitaku E, 2014, J MED CHEM, V57, P10257, DOI 10.1021/jm501100b; Walsh C, 2000, NATURE, V406, P775, DOI 10.1038/35021219; WINTER CA, 1962, P SOC EXP BIOL MED, V111, P544; Wongrakpanich S, 2018, AGING DIS, V9, P143, DOI 10.14336/AD.2017.0306; Yang GY, 2013, PLOS ONE, V8, DOI 10.1371/journal.pone.0074916; YOUNG RA, 1988, DRUGS, V36, P158, DOI 10.2165/00003495-198836020-00003; Younus HA, 2021, EXPERT OPIN THER PAT, V31, P267, DOI 10.1080/13543776.2021.1858797; Zhang Y, 2021, BIOORG MED CHEM LETT, V38, DOI 10.1016/j.bmcl.2021.127849</t>
  </si>
  <si>
    <t>ROYAL SOC CHEMISTRY</t>
  </si>
  <si>
    <t>CAMBRIDGE</t>
  </si>
  <si>
    <t>THOMAS GRAHAM HOUSE, SCIENCE PARK, MILTON RD, CAMBRIDGE CB4 0WF, CAMBS, ENGLAND</t>
  </si>
  <si>
    <t>2046-2069</t>
  </si>
  <si>
    <t>RSC ADV</t>
  </si>
  <si>
    <t>RSC Adv.</t>
  </si>
  <si>
    <t>DEC 6</t>
  </si>
  <si>
    <t>10.1039/d2ra07056a</t>
  </si>
  <si>
    <t>Chemistry, Multidisciplinary</t>
  </si>
  <si>
    <t>Chemistry</t>
  </si>
  <si>
    <t>6S9SR</t>
  </si>
  <si>
    <t>WOS:000893324200001</t>
  </si>
  <si>
    <t>Garcia-Delgado, H; Petley, DN; Bermudez, MA; Sepulveda, SA</t>
  </si>
  <si>
    <t>Garcia-Delgado, Helbert; Petley, David N.; Bermudez, Mauricio A.; Sepulveda, Sergio A.</t>
  </si>
  <si>
    <t>Fatal landslides in Colombia (from historical times to 2020) and their socio-economic impacts</t>
  </si>
  <si>
    <t>LANDSLIDES</t>
  </si>
  <si>
    <t>Landslide; Debris flow; Socio-economic indexes; Colombia; ENSO</t>
  </si>
  <si>
    <t>EASTERN CORDILLERA; NORTHERN ANDES; TEMPORAL ANALYSIS; FAULT SYSTEM; DEBRIS FLOWS; AMERICA; SUBDUCTION; MAGMATISM; PATTERNS; TRENDS</t>
  </si>
  <si>
    <t>Landslides typify one of the most hazardous natural phenomena fostering economic and even human losses worldwide. Several countries like Colombia, in South America, are hotspots for fatal landslides. In this contribution, we thoroughly reviewed four available databases, articles, grey literature and web resources, in order to build up a new catalogue of fatal landslides in Colombia. We gathered a catalogue of 2351 individual fatal landslides which caused about 37,959 deaths. Of these, we found 11 fatal events in historical times (pre-twentieth century). In modern times (1912-2020), we analysed landslides' spatial and temporal distribution, finding that in central-western Colombia, particularly in the departments of Caldas, Risaralda, Quindio and Antioquia, these kinds of events are more frequent. Upward trends in these areas and a nationwide increase in the number of events in the last 20 years suggest that fatal landslides are far from being effectively mitigated. Our findings also show a strong correlation between the climate variability phenomenon known as El Nino Southern Oscillation (ENSO) and fatal landslides, particularly during those years when strong La Nina (cold phase of ENSO) events occur. Despite rainfall being the most common trigger for fatal landslides, we observed an increasing trend in anthropogenically related events in the last decade. Finally, we obtained multiple socio-economic indices and ran a statistical analysis at the departmental level in order to assess whether impoverished and vulnerable people are more affected by fatal landslides. We propose that in most cases, departments with low income, high levels of corruption and inequality are usually more affected.</t>
  </si>
  <si>
    <t>[Garcia-Delgado, Helbert] Syracuse Univ, Dept Earth &amp; Environm Sci, Syracuse, NY 13210 USA; [Petley, David N.] Serv Geol Colombiano, Bogota, Colombia; [Petley, David N.] Univ Sheffield, Dept Geog, Sheffield S10 2TN, S Yorkshire, England; [Bermudez, Mauricio A.] Univ Pedag &amp; Tecnol Colombia, Escuela Ingn Geol, Sogamoso, Boyaca, Colombia; [Sepulveda, Sergio A.] Simon Fraser Univ, Dept Earth Sci, Burnaby, BC, Canada</t>
  </si>
  <si>
    <t>Syracuse University; N8 Research Partnership; White Rose University Consortium; University of Sheffield; Universidad Pedagogica y Tecnologica de Colombia (UPTC); Simon Fraser University</t>
  </si>
  <si>
    <t>Garcia-Delgado, H (corresponding author), Syracuse Univ, Dept Earth &amp; Environm Sci, Syracuse, NY 13210 USA.</t>
  </si>
  <si>
    <t>hsgarcia@g.syr.edu</t>
  </si>
  <si>
    <t>Sepulveda, Sergio/A-9825-2008</t>
  </si>
  <si>
    <t>Sepulveda, Sergio/0000-0001-6943-362X; Garcia-Delgado, Helbert/0000-0002-7714-7161; Bermudez, Mauricio A/0000-0003-0584-4790; Petley, David/0000-0002-3061-6282</t>
  </si>
  <si>
    <t>Universidad Pedagogica y Tecnologica de Colombia (UPTC), DIN SGI Project [3104]</t>
  </si>
  <si>
    <t>Universidad Pedagogica y Tecnologica de Colombia (UPTC), DIN SGI Project</t>
  </si>
  <si>
    <t>Financial support was provided by Universidad Pedagogica y Tecnologica de Colombia (UPTC), DIN SGI Project 3104.</t>
  </si>
  <si>
    <t>Acosta J, 1846, CR HEBD ACAD SCI, P709; Aristizábal Edier, 2020, Cuad. Geogr. Rev. Colomb. Geogr., V29, P242, DOI 10.15446/rcdg.v29n1.72612; Aristizabal E, 2020, DISASTERS, V44, P596, DOI 10.1111/disa.12391; ASPDEN JA, 1987, J GEOL SOC LONDON, V144, P893, DOI 10.1144/gsjgs.144.6.0893; Avila G, 2017, ADVANCING CULTURE OF LIVING WITH LANDSLIDES, VOL 2: ADVANCES IN LANDSLIDE SCIENCE, P1061, DOI 10.1007/978-3-319-53498-5_120; Badoux A, 2016, NAT HAZARD EARTH SYS, V16, P2747, DOI 10.5194/nhess-16-2747-2016; Bayona G, 2012, EARTH PLANET SC LETT, V331, P97, DOI 10.1016/j.epsl.2012.03.015; Blanco-Quintero IF, 2014, INT GEOL REV, V56, P1852, DOI 10.1080/00206814.2014.963710; Bustamante C, 2017, LITHOS, V277, P199, DOI 10.1016/j.lithos.2016.11.025; Casadevall T, 1994, PRELIMINARY REPORT E, P1; Cediel F., 2003, AAPG MEMOIR, V79, P815, DOI DOI 10.1306/M79877C37; Cheng DQ, 2018, LANDSLIDES, V15, P1223, DOI 10.1007/s10346-018-0969-1; CHICANGANA GERMAN, 2005, Earth Sci. Res. J., V9, P50; Church M, 2020, WATER RESOUR RES, V56, DOI 10.1029/2020WR027144; Carrillo AC, 2009, INT REV RED CROSS, V91, P527, DOI 10.1017/S1816383109990427; COOPER MA, 1995, AAPG BULL, V79, P1421; Dowling CA, 2014, NAT HAZARDS, V71, P203, DOI 10.1007/s11069-013-0907-4; Emberson R, 2021, NAT COMMUN, V12, DOI 10.1038/s41467-021-22398-4; Esri, 2016, EM HOT SPOT AN WORKS; Evans SG, 2007, MOVIMIENTOS MASA REG, P386; Fabre A., 1983, PRIMERA PARTE ESTUDI, V8, P22; Froude MJ, 2018, NAT HAZARD EARTH SYS, V18, P2161, DOI 10.5194/nhess-18-2161-2018; Gallego, 2015, SERIE DOCUMENTOS TRA, V178, P1; Garcia-Delgado H, 2021, P 13 INT S LANDSL, P1; Garcia-Delgado H, 2020, J S AM EARTH SCI, V98, DOI 10.1016/j.jsames.2019.102472; Garcia-Delgado H, 2019, Z GEOMORPHOL, V62, P199, DOI 10.1127/zfg/2019/0630; Garcia-Delgado H, 2019, LANDSLIDES, V16, P597, DOI 10.1007/s10346-018-01121-3; Gomez D, 2021, P 13 INT S LANDSL, P1; Gomez E, 2013, LANDSLIDE SCI PRACTI, DOI [10.1007/978-3-642-31337-0_13, DOI 10.1007/978-3-642-31337-0_13]; Gomez Tapias J, 2019, MAPA GEOLOGICO SURAM, DOI [10.32685/10.143.2019.929, DOI 10.32685/10.143.2019.929]; Gorum T, 2021, LANDSLIDES, V18, P1691, DOI 10.1007/s10346-020-01580-7; Grima N, 2020, SCI TOTAL ENVIRON, V745, DOI 10.1016/j.scitotenv.2020.141128; Guns M, 2014, ANTHROPOCENE, V6, P75, DOI 10.1016/j.ancene.2014.08.001; Haque U, 2019, SCI TOTAL ENVIRON, V682, P673, DOI 10.1016/j.scitotenv.2019.03.415; Haque U, 2016, LANDSLIDES, V13, P1545, DOI 10.1007/s10346-016-0689-3; Hastie T., 2009, ELEMENTS STAT LEARNI, DOI [10.1007/BF02985802, DOI 10.1007/978-0-387-84858-7]; Hermelin Michel, 2005, DESASTRES ORIGEN NAT; Hincapie-Gomez S, 2018, STUD GEOPHYS GEOD, V62, P485, DOI 10.1007/s11200-016-0678-y; Holley EA, 2020, RESOUR POLICY, V67, DOI 10.1016/j.resourpol.2020.101696; Hoyos N, 2013, APPL GEOGR, V39, P16, DOI 10.1016/j.apgeog.2012.11.018; IDEAM, 2017, GUIA MET EL MAP IN; INGEOMINAS, 1996, INV DES NAT, P189; INGEOMINAS, 2002, CAT NAC MOV MAS, P289; Julivert M., 1970, GEOL SOC AM BULL, V81, P3623, DOI DOI 10.1130/0016-7606(1970)81[3623:CABTIT]2.0.CO;2; Kirschbaum D, 2015, GEOMORPHOLOGY, V249, P4, DOI 10.1016/j.geomorph.2015.03.016; Kirschbaum DB, 2010, NAT HAZARDS, V52, P561, DOI 10.1007/s11069-009-9401-4; Klimes J, 2010, NAT HAZARD EARTH SYS, V10, P2067, DOI 10.5194/nhess-10-2067-2010; Larsen MC, 1997, EARTH SURF PROC LAND, V22, P835, DOI 10.1002/(SICI)1096-9837(199709)22:9&amp;lt;835::AID-ESP782&amp;gt;3.0.CO;2-C; Lin Q, 2018, LANDSLIDES, V15, P2357, DOI 10.1007/s10346-018-1037-6; Lopez-Rodriguez SR, 2008, AMBIO, V37, P141, DOI 10.1579/0044-7447(2008)37[141:ICITAD]2.0.CO;2; Ramos-Canon AM, 2016, LANDSLIDES, V13, P671, DOI 10.1007/s10346-015-0593-2; Martens U, 2014, J GEOL, V122, P507, DOI 10.1086/677177; Maya M., 1995, BOLET N GEOLOG A, V35, P43, DOI [10.32685/0120-1425/bolgeol35.2-3.1995.316, DOI 10.32685/0120-1425/BOLGEOL35.2-3.1995.316]; McAdoo BG, 2018, NAT HAZARD EARTH SYS, V18, P3203, DOI 10.5194/nhess-18-3203-2018; Mojica J, 1985, GEOLOGIA COLOMBIANA, P107; Montero J., 1988, ING INVEST, V17, P15; Mora A, 2009, BASIN RES, V21, P111, DOI 10.1111/j.1365-2117.2008.00367.x; Naranjo Bedoya Karolina, 2019, ing.cienc., V15, P11, DOI 10.17230/ingciencia.15.29.1; Ojeda J, 2006, IAEG2006, P1; PARIS G, 2000, 000284 USGS, P1; Paris G., 1994, FALLAS ACTIVAS COLOM, V34, P3; PENNINGTON WD, 1981, J GEOPHYS RES, V86, P753, DOI 10.1029/JB086iB11p10753; Pereira S, 2016, RISK ANAL, V36, P1188, DOI 10.1111/risa.12516; Petley D. N., 2005, LANDSLIDE RISK MANAG, P367; Petley D, 2012, GEOLOGY, V40, P927, DOI 10.1130/G33217.1; Petley DN, 2007, NAT HAZARDS, V43, P23, DOI 10.1007/s11069-006-9100-3; Pierson, 2005, US GEOLOGICAL SURVEY; Polanco C., 2005, INGENIERIA CIENCIA, V1, P45; Pollock W, 2020, GEOHEALTH, V4, DOI 10.1029/2020GH000287; Pontificia Universidad Javeriana (PUJ)-Servicio Geologico Colombiano (SGC), 2021, EV AM AV TORR; Poveda G, 2000, GEOPHYS RES LETT, V27, P1675, DOI 10.1029/1999GL006091; Poveda G, 2001, WATER RESOUR RES, V37, P2169, DOI 10.1029/2000WR900395; Poveda G., 1996, ING HIDRAULICA MEXIC, V11, P21; Poveda G, 2011, CLIM DYNAM, V36, P2233, DOI 10.1007/s00382-010-0931-y; R?os DA., 2004, B ENG GEOL ENVIRON, V63, P77, DOI 10.1007/s10064-003-0210-9; Rettberg A, 2016, WORLD DEV, V84, P82, DOI 10.1016/j.worlddev.2016.03.020; Gutierrez LFS, 2021, ENVIRON EARTH SCI, V80, DOI 10.1007/s12665-021-09428-6; Salvati P, 2018, SCI TOTAL ENVIRON, V610, P867, DOI 10.1016/j.scitotenv.2017.08.064; Santi PM, 2011, NAT HAZARDS, V56, P371, DOI 10.1007/s11069-010-9576-8; Schuster RL, 2001, 01276 US GEOL SURV; Sepulveda SA, 2015, NAT HAZARD EARTH SYS, V15, P1821, DOI 10.5194/nhess-15-1821-2015; Sepulveda SA, 2020, P SCG 13 INT S LANDS; Sepulveda SA, 2006, QUATERN INT, V158, P83, DOI 10.1016/j.quaint.2006.05.031; Siddiqi A., 2019, DOBLE AFECTACION LIV; Taboada A, 2000, TECTONICS, V19, P787, DOI 10.1029/2000TC900004; Teson E, 2013, GEOL SOC SPEC PUBL, V377, P257, DOI 10.1144/SP377.10; UNODC, 2020, EXPL OR AL EV PART P; Velandia F, 2005, TECTONOPHYSICS, V399, P313, DOI 10.1016/j.tecto.2004.12.028; Venables, 2002, MODERN APPL STAT S, DOI [DOI 10.1007/978-0-387-21706-2, 10.1007/978-0-387-21706-2]; Villagomez D, 2011, LITHOS, V125, P875, DOI 10.1016/j.lithos.2011.05.003; Vinasco CJ, 2006, J S AM EARTH SCI, V21, P355, DOI 10.1016/j.jsames.2006.07.007; Vinasco C, 2019, FRONT EARTH SCI SER, P833, DOI 10.1007/978-3-319-76132-9_12; WEBSTER PJ, 1995, METEOROL ATMOS PHYS, V56, P33, DOI 10.1007/BF01022520</t>
  </si>
  <si>
    <t>SPRINGER HEIDELBERG</t>
  </si>
  <si>
    <t>HEIDELBERG</t>
  </si>
  <si>
    <t>TIERGARTENSTRASSE 17, D-69121 HEIDELBERG, GERMANY</t>
  </si>
  <si>
    <t>1612-510X</t>
  </si>
  <si>
    <t>1612-5118</t>
  </si>
  <si>
    <t>Landslides</t>
  </si>
  <si>
    <t>JUL</t>
  </si>
  <si>
    <t>10.1007/s10346-022-01870-2</t>
  </si>
  <si>
    <t>MAR 2022</t>
  </si>
  <si>
    <t>Engineering, Geological; Geosciences, Multidisciplinary</t>
  </si>
  <si>
    <t>Engineering; Geology</t>
  </si>
  <si>
    <t>1Z1EI</t>
  </si>
  <si>
    <t>WOS:000770972100001</t>
  </si>
  <si>
    <t>Gonzalez-Cely, AX; Callejas-Cuervo, M; Bastos, T</t>
  </si>
  <si>
    <t>Gonzalez-Cely, Aura Ximena; Callejas-Cuervo, Mauro; Bastos-Filho, Teodiano</t>
  </si>
  <si>
    <t>Wheelchair prototype controlled by position, speed and orientation using head movement</t>
  </si>
  <si>
    <t>HARDWAREX</t>
  </si>
  <si>
    <t>Wheelchair prototype; Head motion; Fuzzy logic control; Inertial Measurement Unit (IMU); Wireless</t>
  </si>
  <si>
    <t>A prototype that simulates a wheelchair was built using electronic commercial devices and software implementation with the aim to operate the prototype using head movement and analyzing the system response. The controllers were simulated using MATLAB (R) toolbox and PythonTM libraries. The mean time response of the system with manual control was 37,8 s. The mean orientation control response with constant speed was 36,5 s and the mean orientation control response with variable speed was 44,2 s in a specific route. The variable speed response is slower than constant speed due to head motion error. The system was rated such as very good by 10 participants using a System Usability Scale (SUS). (c) 2022 The Author(s). Published by Elsevier Ltd. This is an open access article under the CC BY-NC-ND license (http://creativecommons.org/licenses/by-nc-nd/4.0/).</t>
  </si>
  <si>
    <t>[Gonzalez-Cely, Aura Ximena; Bastos-Filho, Teodiano] Univ Fed Espirito Santo, Postgrad Program Elect Engn, Ave Fernando Ferrari 514, BR-29075910 Vitoria, Brazil; [Callejas-Cuervo, Mauro] Univ Pedag &amp; Tecnol Colombia, Software Res Grp, Ave Cent Norte 39-115, Tunja 150001, Colombia</t>
  </si>
  <si>
    <t>Universidade Federal do Espirito Santo; Universidad Pedagogica y Tecnologica de Colombia (UPTC)</t>
  </si>
  <si>
    <t>Gonzalez-Cely, AX (corresponding author), Univ Fed Espirito Santo, Postgrad Program Elect Engn, Ave Fernando Ferrari 514, BR-29075910 Vitoria, Brazil.</t>
  </si>
  <si>
    <t>aura.cely@edu.ufes.br</t>
  </si>
  <si>
    <t>GONZALEZ CELY, AURA XIMENA/0000-0001-9304-0834</t>
  </si>
  <si>
    <t>Software Research Group (GIS) from the school of Computer Science, Engineering Department; Universidad Pedagogica y Tecnologica de Colombia (UPTC)</t>
  </si>
  <si>
    <t>This work was supported by the Software Research Group (GIS) from the school of Computer Science, Engineering Department, Universidad Pedagogica y Tecnologica de Colombia (UPTC) .</t>
  </si>
  <si>
    <t>Al-Okby MFR, 2017, I S INTELL SYST INFO, P117, DOI 10.1109/SISY.2017.8080536; Callejas-Cuervo M, 2021, SENSORS-BASEL, V21, DOI 10.3390/s21134344; Callejas-Cuervo M, 2020, SENSORS-BASEL, V20, DOI 10.3390/s20216326; Dey P, 2019, 2019 1ST INTERNATIONAL CONFERENCE ON ROBOTICS, ELECTRICAL AND SIGNAL PROCESSING TECHNIQUES (ICREST), P329, DOI 10.1109/ICREST.2019.8644322; Errico V., 2018, P IEEE INT S MED MEA, P1, DOI DOI 10.1109/MEMEA.2018.8438638; Gomes D, 2019, 2019 6TH IEEE PORTUGUESE MEETING IN BIOENGINEERING (ENBENG); Kader M.A., 2019, PROC 22 INT C COMPUT, P1, DOI 10.1109/ICCIT48885.2019.9038512; Lee Y., 2017, 2017 JOINT 17 WORLD, P1, DOI [10.1109/IFSA-SCIS.2017.8023223, DOI 10.1109/IFSA-SCIS.2017.8023223]; Maatoug Khaoula, 2019, 2019 19th International Conference on Sciences and Techniques of Automatic Control and Computer Engineering (STA). Proceedings, P191, DOI 10.1109/STA.2019.8717190; Mahmud Saifuddin, 2019, 2019 IEEE 7th Conference on Systems, Process and Control (ICSPC), P10, DOI 10.1109/ICSPC47137.2019.9068027; Marins G, 2017, PROCEEDINGS OF THE 2017 INTELLIGENT SYSTEMS CONFERENCE (INTELLISYS), P996; Onishi Masaru, 2007, SICE '07. 46th SICE Annual Conference, P2080; Penttinen J., 2013, PROTOCOLS; Qamar IO, 2017, 2017 10TH JORDANIAN INTERNATIONAL ELECTRICAL AND ELECTRONICS ENGINEERING CONFERENCE (JIEEEC); Ruzaij Mohammed Faeik, 2016, 2016 IEEE Sensors Applications Symposium (SAS), P1, DOI 10.1109/SAS.2016.7479886; Ruzaij MF, 2017, 2017 IEEE 15TH INTERNATIONAL SYMPOSIUM ON APPLIED MACHINE INTELLIGENCE AND INFORMATICS (SAMI), P497, DOI 10.1109/SAMI.2017.7880360; Zhang S., 2019, 2019 IEEE 4 ADV INFO, V1, P2091</t>
  </si>
  <si>
    <t>ELSEVIER</t>
  </si>
  <si>
    <t>AMSTERDAM</t>
  </si>
  <si>
    <t>RADARWEG 29, 1043 NX AMSTERDAM, NETHERLANDS</t>
  </si>
  <si>
    <t>2468-0672</t>
  </si>
  <si>
    <t>HardwareX</t>
  </si>
  <si>
    <t>APR</t>
  </si>
  <si>
    <t>e00306</t>
  </si>
  <si>
    <t>10.1016/j.ohx.2022.e00306</t>
  </si>
  <si>
    <t>APR 2022</t>
  </si>
  <si>
    <t>Engineering, Electrical &amp; Electronic; Instruments &amp; Instrumentation; Materials Science, Multidisciplinary</t>
  </si>
  <si>
    <t>Engineering; Instruments &amp; Instrumentation; Materials Science</t>
  </si>
  <si>
    <t>1Q9XY</t>
  </si>
  <si>
    <t>WOS:000803034600004</t>
  </si>
  <si>
    <t>Rubiano-Navarrete, AF; Fabian, CL; Torres-Perez, Y; Gomez-Pachon, EY</t>
  </si>
  <si>
    <t>Felipe Rubiano-Navarrete, Andres; Lesmes Fabian, Camilo; Torres-Perez, Yolanda; Yesid Gomez-Pachon, Edwin</t>
  </si>
  <si>
    <t>Durability Evaluation of New Composite Materials for the Construction of Beehives</t>
  </si>
  <si>
    <t>SUSTAINABILITY</t>
  </si>
  <si>
    <t>new materials; sustainable beehives; xylophagous fungi; sustainable development; apiculture</t>
  </si>
  <si>
    <t>ROT FUNGI; WOOD</t>
  </si>
  <si>
    <t>Given the current situation we face regarding climate change, one of the greatest and most critical concerns is related to the reduction in the bee population. This population largely depends on beekeeping production units around the world. However, these production units also face great challenges in the construction of beehives, as pine word generally deteriorates within a period of five years or less. This relatively rapid deterioration has both economic and environmental repercussions, which may affect the economic sustainability of the beekeeping system. The objective of this research was the production and subsequent evaluation of the durability of alternative composite materials that can be used in beehive construction. The materials are based on high-density polyethylene and agro-industrial residues (fique fiber, banana fiber, and goose feathers) from the Boyaca region of Colombia. The composite materials studied in the present study were exposed to xylophagous fungi for 90 days, at constant humidity and under controlled temperature conditions that are conducive to fungi proliferation. The results showed that composite materials that include fique fibers are the most promising substitute for wood in the construction of beehives. Indeed, these materials were shown to be 80% more resistant to pathogen attack and durable weight loss than pine wood. These durability results may be of great importance for future implementation in beekeeping production units. They have the potential to impact not only the sustainable development of rural communities, but also to make a great ecological contribution by reducing the need to cut down trees while maintaining the health of beehives.</t>
  </si>
  <si>
    <t>[Felipe Rubiano-Navarrete, Andres] Univ Pedag &amp; Tecnol Colombia UPTC, Fac Ingn, Grp Invest Diseno Innovac &amp; Asistencia Tecn Mat A, Tunja 150003, Colombia; [Lesmes Fabian, Camilo] Corp Univ Meta UniMeta, Ctr Invest Ingn Francisco Alban Estupitian, Escuela Ingn Ambiental, Villavicencio 500001, Colombia; [Torres-Perez, Yolanda] Univ Pedag &amp; Tecnol Colombia UPTC, Fac Duitama, Escuela Ingn Electromecan, Grp Invest Energia &amp; Nuevas Tecnol GENTE, Duitama 150461, Colombia; [Yesid Gomez-Pachon, Edwin] Univ Pedag &amp; Tecnol Colombia UPTC, Escuela Diseno Ind, Grp Invest Diseno Innovac &amp; Asistencia Tecn Mat A, Duitama 150461, Colombia</t>
  </si>
  <si>
    <t>Universidad Pedagogica y Tecnologica de Colombia (UPTC); Universidad Pedagogica y Tecnologica de Colombia (UPTC); Universidad Pedagogica y Tecnologica de Colombia (UPTC)</t>
  </si>
  <si>
    <t>Rubiano-Navarrete, AF (corresponding author), Univ Pedag &amp; Tecnol Colombia UPTC, Fac Ingn, Grp Invest Diseno Innovac &amp; Asistencia Tecn Mat A, Tunja 150003, Colombia.</t>
  </si>
  <si>
    <t>andres.rubiano01@uptc.edu.co</t>
  </si>
  <si>
    <t>RUBIANO, FELIPE/0000-0001-9959-0124; Torres Perez, Yolanda/0000-0002-3526-8491</t>
  </si>
  <si>
    <t>Gobernacion de Boyaca through the Patrimonio Autonomo Fondo Nacional de Financiamiento Para la Ciencia, la Tecnologia y la Innovacion Francisco Jose de Caldas [110986575000-Conv, SGI 3006]; Universidad Pedagogica y Tecnologica de Colombia (UPTC)</t>
  </si>
  <si>
    <t>Gobernacion de Boyaca through the Patrimonio Autonomo Fondo Nacional de Financiamiento Para la Ciencia, la Tecnologia y la Innovacion Francisco Jose de Caldas; Universidad Pedagogica y Tecnologica de Colombia (UPTC)</t>
  </si>
  <si>
    <t>This research was funded by Minciencias, and the Gobernacion de Boyaca through the Patrimonio Autonomo Fondo Nacional de Financiamiento Para la Ciencia, la Tecnologia y la Innovacion Francisco Jose de Caldas (project 110986575000-Conv. 865-2019) Codice SGI 3006 in the UPTC. Furthermore, the authors would like to thank the Universidad Pedagogica y Tecnologica de Colombia (UPTC).</t>
  </si>
  <si>
    <t>Aguiar A, 2013, INT BIODETER BIODEGR, V82, P187, DOI 10.1016/j.ibiod.2013.03.013; Aiduang W, 2022, J FUNGI, V8, DOI 10.3390/jof8080842; Al-Ghamdi AA, 2020, SAUDI J BIOL SCI, V27, P3385, DOI 10.1016/j.sjbs.2020.09.002; [Anonymous], INNOVATION ADOPTION; [Anonymous], DET AP PEN YUC ACT S; astm.org, STANDARD TEST METHOD; Bao MZ, 2022, FORESTS, V13, DOI 10.3390/f13091387; Bernate D.Y.O., 2016, APICULTURA OPCION DE; da Silva CA, 2007, INT BIODETER BIODEGR, V60, P285, DOI 10.1016/j.ibiod.2007.05.003; Decreto R., 2009, SEGURIDAD LABORAL AC, P16; Delucis RD, 2016, MADERAS-CIENC TECNOL, V18, P33, DOI 10.4067/S0718-221X2016005000004; fao.org, EST MUND AGR AL 2015; google.com.co, APICULTURA PEQUENOS; google.com.co, AP MED VID SOST NIC; Hassan B, 2019, EUR J WOOD WOOD PROD, V77, P869, DOI 10.1007/s00107-019-01443-6; HILL DB, 1995, AGROFOREST SYST, V29, P313, DOI 10.1007/BF00704877; Hongos de la Madera, TIP EF TRAT; Ionita-Mindrican CB, 2022, APPL SCI-BASEL, V12, DOI 10.3390/app12199649; Martin-Sanchez PM, 2022, APPL SCI-BASEL, V12, DOI 10.3390/app12189372; Millan J.A., 2017, APICULTURA CIUDAD ME; Moritz R.F.A., 1991, MANUAL APICULTOR AFI; Negrao DR, 2021, FUNGAL BIOL-UK, V125, P860, DOI 10.1016/j.funbio.2021.05.007; Paes Juarez Benigno, 2004, Rev. Árvore, V28, P275, DOI 10.1590/S0100-67622004000200014; Rahimi MK, 2020, ECOSYST HEALTH SUST, V6, DOI 10.1080/20964129.2020.1818630; Sydor M, 2022, MATERIALS, V15, DOI 10.3390/ma15186283; Vasiliauskiene D, 2022, MICROORGANISMS, V10, DOI 10.3390/microorganisms10091830; Vista Equipo, 2008, COST PROD MIEL AB EM; Yadav S, 2009, APPL BIOCHEM BIOTECH, V159, P270, DOI 10.1007/s12010-008-8471-1; Zuin VG, 2018, TOPICS CURR CHEM, V376, DOI 10.1007/s41061-017-0182-z</t>
  </si>
  <si>
    <t>2071-1050</t>
  </si>
  <si>
    <t>SUSTAINABILITY-BASEL</t>
  </si>
  <si>
    <t>Sustainability</t>
  </si>
  <si>
    <t>NOV</t>
  </si>
  <si>
    <t>10.3390/su142214683</t>
  </si>
  <si>
    <t>Green &amp; Sustainable Science &amp; Technology; Environmental Sciences; Environmental Studies</t>
  </si>
  <si>
    <t>Science Citation Index Expanded (SCI-EXPANDED); Social Science Citation Index (SSCI)</t>
  </si>
  <si>
    <t>Science &amp; Technology - Other Topics; Environmental Sciences &amp; Ecology</t>
  </si>
  <si>
    <t>6K5ZW</t>
  </si>
  <si>
    <t>WOS:000887580800001</t>
  </si>
  <si>
    <t>Barreto, LCL; Mesa, JKR</t>
  </si>
  <si>
    <t>Leguizamon Barreto, Luis Carlos; Rojas Mesa, July Katerine</t>
  </si>
  <si>
    <t>A review of the relation between climate variability and mass removal processes. Tunja-Paez case study</t>
  </si>
  <si>
    <t>INGENIERIA SOLIDARIA</t>
  </si>
  <si>
    <t>Climate change; climate variability; mass removal; precipitation; roadway infrastructure; adaptation</t>
  </si>
  <si>
    <t>LANDSLIDE SUSCEPTIBILITY MAPS</t>
  </si>
  <si>
    <t>This literature review paper is a product of the Research Project Relation Between Climate Variability with Mass Removal Processes. Tunja-Paez case study, developed in the Universidad Pedagogica y Tecnologica de Colombia in the year 2020. Introduction: This paper focuses on the review of research studies and advances made during the last decade regarding the influence of climatic variability on the dynamics of slopes. Objective: To determine the influence of climatic variability in areas that present slope instability in the TunjaPaez road corridor located in the department of Boyaca. Methods: A systematic review of information from books, manuals, reports, guides, and scientific papers on climate change, climate variability, mass removal processes, meteorological variables, and their influence on the resilience and adaptation of infrastructure related to containment and slope drainage projects. Results: The studies indicate criteria that relate temperature, precipitation and seismic activity with the occurrence of mass movements. Conclusion: Climatic anomalies in terms of precipitation and temperature have allowed research methodologies using probabilistic models to be developed for estimating the occurrence of said phenomena in future scenarios. Originality: The presented literature indicates the influence of climatic variability in the resulting mass removal processes as evidenced in studies at the global and national level. Limitations: This paper's compiled scientific studies contrast the problems in the stability of slopes of the Tunja-Paez road corridor, without going into the details of these problems.</t>
  </si>
  <si>
    <t>[Leguizamon Barreto, Luis Carlos] Univ Pedag &amp; Tecnol Colombia, Fac Ingn, Transporte &amp; Vias, Tunja, Colombia; [Rojas Mesa, July Katerine] Univ Pedag &amp; Tecnol Colombia, Fac Ingn, Ingn, Tunja, Colombia</t>
  </si>
  <si>
    <t>Barreto, LCL (corresponding author), Univ Pedag &amp; Tecnol Colombia, Fac Ingn, Transporte &amp; Vias, Tunja, Colombia.</t>
  </si>
  <si>
    <t>luiscarlos.leguizamon@uptc.edu.co; juiy.rojas@uptc.edu.co</t>
  </si>
  <si>
    <t>Research Directorate of the Universidad Pedagogica y Tecnologica de Colombia</t>
  </si>
  <si>
    <t>This paper was funded by the Research Directorate of the Universidad Pedagogica y Tecnologica de Colombia in 2020.</t>
  </si>
  <si>
    <t>Agencia Estatal de Meteorologia AEMET, 2015, MAN US TERM MET, P20; Agencia Estatal de Meteorologia AEMET, 2018, CAL GLOB 1 5 C GUIA, P13; Althuwaynee OF, 2018, LANDSLIDES, V15, P1541, DOI 10.1007/s10346-018-0968-2; Alvis D. E. Gutierrez, 2018, REV INGENIERIA SOLID, V14, P1, DOI [10.16925/in.v14i26.2453, DOI 10.16925/IN.V14I26.2453]; [Anonymous], 2013, CAMBIO CLIMATICO 201; Arango C., 2012, CAMBIO CLIMATICO MAS, P38; Asociacion colombiana de Ingenieria Sismica AIS, 2009, COMI AIS 300 AM SISM, P95; Banco Mundial Colombia and Global Facility for Disaster Reduction and Recovery (GFDRR), 2012, 3333109861A56 TEC GF, P35; BID and CEPAL, 2014, VAL DAN PERD OL INV; Bornaetxea T, 2018, CUATERN GEOMORFOL, V32, P7, DOI 10.17735/cyg.v32i1-2.59493; Christidis N, 2019, B AM METEOROL SOC, V100, pS31, DOI 10.1175/BAMS-D-18-0110.1; Comision Economica para America Latina y el Caribe and Organizacion de las Naciones Unidas, 2014, LCL3691 COM EC AM LA, P22; Correa O, 2020, NAT HAZARDS, V100, P345, DOI 10.1007/s11069-019-03815-w; de Abreu RC, 2019, B AM METEOROL SOC, V100, pS37, DOI 10.1175/BAMS-D-18-0102.1; Departamento Nacional de Planeacion DNP, 2018, IND MUN RIESG DES CO, P11; Departamento Nacional de Planeacion DNP, 2019, IND MUN RIES DES AJ, P14; Departamento Nacional de Planeacion DNP Fondo Mundial para la Reduccion y Recuperacion de los Desastres (GFDRR) y Banco Mundial BIRF-AIF, 2018, IND MUN RIESG DES AJ, P8; Donnini M, 2017, LANDSLIDES, V14, P1521, DOI 10.1007/s10346-017-0829-4; Duque G., 2019, MANUAL GEOLOGIA INGE, P462; Prada-Sarmiento LF, 2019, LANDSLIDES, V16, P2459, DOI 10.1007/s10346-019-01263-y; H. Servicio Geologico Colombiano SGC, 2016, CONVENIO ESPECIAL CO, P53; Hidalgo Montoya César Augusto, 2014, Rev.EIA.Esc.Ing.Antioq, P103; Highland L. M., 2008, SERVICIO GEOLOGICO E, P8; Instituto de Hidrologia Meteorologia y Estudios Ambientales IDEAM, 2018, DOCUMENTO METODOLOGI, P15; Instituto de Hidrologia Meteorologia y Estudios Ambientales IDEAM, 2016, CON PRIM PAS AD GUIA, P30; Instituto de Hidrologia Meteorologia y Estudios Ambientales IDEAM, 2018, VAR CLIM CAMB CLIM C, P9; Instituto Distrital de Gestion de Riesgos y Cambio Climatico IDIGER, 2020, ESC RIESG RIESG MOV; Instituto Nacional de Defensa Civil INDECI, 2011, CUADERNO TECNICO N 3, P12; Intergov Panel Clim Chg, 2012, MANAGING THE RISKS OF EXTREME EVENTS AND DISASTERS TO ADVANCE CLIMATE CHANGE ADAPTATION, P1, DOI 10.1017/CBO9781139177245; Intergovernmental Panel on Climate Change IPCC, 2013, CONTR GRUP TRAB 1 QU, P190; Li J, 2020, EARTH SCI RES J, V24, P71, DOI 10.15446/esrj.v24n1.78094; Lopez V. S., 2019, THESIS U ANDRES BELL, P9; Mardones Flores María, 2012, Rev. geogr. Norte Gd., P57; Ramos-Canon AM, 2016, LANDSLIDES, V13, P671, DOI 10.1007/s10346-015-0593-2; Carvajal HEM, 2018, EARTH SCI RES J, V22, P251, DOI 10.15446/esrj.v22n4.68553; Matulla C, 2018, THEOR APPL CLIMATOL, V133, P227, DOI 10.1007/s00704-017-2127-4; Mergili Martin, 2015, Cuad. Geogr. Rev. Colomb. Geogr., V24, P113, DOI 10.15446/rcdg.v24n2.50211; Mesbahzadeh T, 2019, ADV METEOROL, V2019, DOI 10.1155/2019/6848049; Organizacion Panamericana de la Salud and Organizacion Mundial de la Salud, 2017, 6 ORG PAN SAL ORG MU; Orozco M., 2015, ENTENDIMIENTO FENOME, P3; Pachauri R.K., 2007, CAMB CLIM 2007 INF S; Paeth H, 2017, J CLIMATE, V30, P7757, DOI 10.1175/JCLI-D-16-0850.1; Pandey PK, 2018, MODEL EARTH SYST ENV, V4, P867, DOI 10.1007/s40808-018-0454-9; Parry M, 2007, AR4 CLIMATE CHANGE 2007: IMPACTS, ADAPTATION, AND VULNERABILITY, P1; Perez M., 2018, OBSERVACIONES CAMPO, P41; Ramos-Cañón Alfonso Mariano, 2015, Cienc. Ing. Neogranad., V25, P61, DOI 10.15665/re.v13i1.348; Region Administrativa y de Planeacion Especial de Colombia RAPE, 2016, SERIE DOCUMENTOS DES, V01, P12; Regmi NR, 2014, LANDSLIDES, V11, P247, DOI 10.1007/s10346-012-0380-2; Rianna G, 2016, NAT HAZARDS, V84, P1487, DOI 10.1007/s11069-016-2481-z; Rodriguez M., 2009, CAMBIO CLIMATICO QUE, P9; Romero J., 2011, NADIR REV ELECTRONIC, V3, P1; Serrano Vincenti S., 2012, GRANJA, V16, P23, DOI [10.17163/lgr.n16.2012.03, DOI 10.17163/LGR.N16.2012.03]; Servicio Geologico Colombiano SGC, 2017, GUIA MET ZON AM MOV, P20; Servicio Geologico Colombiano SGC and Universidad Industrial de Santander UIS, 2014, CONV ESP COOP N 009, P55; Servicio Nacional de Geologia y Mineria, 2007, MOV MAS REG AND GUIA, V4, P3; Suarez J, 2009, DESLIZAMIENTOS ANALI, V1, P173; Tichavsky R, 2019, SCI REP-UK, V9, DOI 10.1038/s41598-019-51148-2; Trenberth KE, 2011, CLIM RES, V47, P123, DOI 10.3354/cr00953; Tsangaratos P, 2017, LANDSLIDES, V14, P1091, DOI 10.1007/s10346-016-0769-4; United Nations Office for the Coordination of Humanitarian Affairs, 2010, 6 UN OFF COORD HUM A, P2; Van Westen C.J., 2013, RESEARCHGATE, P23, DOI [10.13140/RG.2.2.34315.90407, DOI 10.13140/RG.2.2.34315.90407]; Vano JA, 2019, B AM METEOROL SOC, V100, pS9, DOI 10.1175/BAMS-D-18-0219.1; Vega J. A., 2013, THESIS U NACL PLATA, P169; Vega JA., 2014, RECOPILACION GEOMATI, V1, P31; WorldMeteorological OrganizationWMO, 2018, STAT STAT GLOB CLIM, P4</t>
  </si>
  <si>
    <t>UNIV COOPERATIVE COLOMBIA, FAC ENGINEERING</t>
  </si>
  <si>
    <t>BOGOTA</t>
  </si>
  <si>
    <t>AV CARCAS NO 37-15, BOGOTA, 00000, COLOMBIA</t>
  </si>
  <si>
    <t>1900-3102</t>
  </si>
  <si>
    <t>2357-6014</t>
  </si>
  <si>
    <t>ING SOLIDAR</t>
  </si>
  <si>
    <t>Ing. Solidar.</t>
  </si>
  <si>
    <t>10.16925/2357-6014.2022.01.08</t>
  </si>
  <si>
    <t>Engineering, Multidisciplinary</t>
  </si>
  <si>
    <t>Engineering</t>
  </si>
  <si>
    <t>3M1CP</t>
  </si>
  <si>
    <t>WOS:000835195900005</t>
  </si>
  <si>
    <t>Carolina Otalora, Maria; Wilches-Torres, Andrea; Gomez Castano, Jovanny A.</t>
  </si>
  <si>
    <t>Spray-Drying Microencapsulation of Andean Blueberry (Vaccinium meridionale Sw.) Anthocyanins Using Prickly Pear (Opuntia ficus indica L.) Peel Mucilage or Gum Arabic: A Comparative Study</t>
  </si>
  <si>
    <t>FOODS</t>
  </si>
  <si>
    <t>Andean blueberry; Opuntia ficus-indica mucilage; recovery of byproducts; spray-drying microencapsulation; natural dye; anthocyanins</t>
  </si>
  <si>
    <t>ANTIOXIDANT ACTIVITY; STABILITY; PHENOLICS; ENCAPSULATION</t>
  </si>
  <si>
    <t>The recovery of byproducts from the food industry is a promising approach to obtain hydrophilic biopolymers with potential health benefits. In this work, the mucilage obtained from the peel of the Opuntia ficus-indica (OFI) fruit was compared with gum arabic (GA) as wall materials for the microencapsulation of Colombian blueberry anthocyanins, using the spray-drying process. For both types of microencapsulates, the following were determined: anthocyanin content (UV-vis and HPLC/MS-MS), total dietary content (enzymatic-gravimetric method), antioxidant activity (ORAC), color (CIELab parameters), morphology (SEM and particle size), and thermal behavior (DSC/TGA). Six different anthocyanins were identified by HPLC/MS-MS in the non-lyophilized Andean blueberry sample (LABP) and in the OFI-mucilage and GA microcapsules. OFI mucilage, compared to GA, favors the formation of larger spherical particles, a smoother surface without cracks, and greater thermal stability. The higher anthocyanin retention capacity in OFI microcapsules leads to higher antioxidant capacity and red coloration for this biomaterial. Consequently, the microencapsulation of anthocyanins with mucilage from the peel of the OFI fruit is proposed as a promising alternative for the protection and incorporation of this natural dye with high antioxidant capacity and dietary fiber content in new functional food/cosmetic formulations, while giving added value to the natural byproducts of OFI.</t>
  </si>
  <si>
    <t>[Carolina Otalora, Maria; Wilches-Torres, Andrea] Univ Boyaca, Fac Ciencias Ingn, Grp Invest Ciencias Bas NUCLEO, Tunja 150003, Colombia; [Gomez Castano, Jovanny A.] Univ Pedag &amp; Tecnol Colombia, Escuela Ciencias Quim, Grp Quim Fis Mol &amp; Modelamiento Computac QUIMOL, Tunja 150003, Colombia</t>
  </si>
  <si>
    <t>Otalora, MC (corresponding author), Univ Boyaca, Fac Ciencias Ingn, Grp Invest Ciencias Bas NUCLEO, Tunja 150003, Colombia.;Castano, JGA (corresponding author), Univ Pedag &amp; Tecnol Colombia, Escuela Ciencias Quim, Grp Quim Fis Mol &amp; Modelamiento Computac QUIMOL, Tunja 150003, Colombia.</t>
  </si>
  <si>
    <t>Universidad de Boyaca; Universidad Pedagogica y Tecnologica de Colombia</t>
  </si>
  <si>
    <t>This work was funded by the Universidad de Boyaca and the Universidad Pedagogica y Tecnologica de Colombia through the interinstitutional project SGI 3367 of the Vicerrectoria de Investigaciones (VIE) of the Universidad Pedagogica y Tecnologica de Colombia.</t>
  </si>
  <si>
    <t>Adsare SR, 2021, J FOOD ENG, V298, DOI 10.1016/j.jfoodeng.2021.110502; Agudelo CD, 2018, J AGR FOOD CHEM, V66, P7358, DOI 10.1021/acs.jafc.8b01604; Ahmada M., 2018, J BIOL MACROMOL, V109, P432, DOI [10.1016/j.ijbiomac.2017.11.122, DOI 10.1016/J.IJBIOMAC.2017.11.122]; Antigo JLD, 2020, J FOOD ENG, V285, DOI 10.1016/j.jfoodeng.2020.110101; Garzon GA, 2020, HELIYON, V6, DOI 10.1016/j.heliyon.2020.e03845; Burgain J, 2011, J FOOD ENG, V104, P467, DOI 10.1016/j.jfoodeng.2010.12.031; Carmona JC, 2021, LWT-FOOD SCI TECHNOL, V138, DOI 10.1016/j.lwt.2020.110672; Otalora MC, 2022, POLYMERS-BASEL, V14, DOI 10.3390/polym14183832; Cunniff P, 1997, OFFICIAL METHODS ANA, V16th ed.; da Rosa JR, 2019, FOOD HYDROCOLLOID, V89, P742, DOI 10.1016/j.foodhyd.2018.11.042; de Campo C, 2018, COLLOID SURFACE A, V558, P410, DOI 10.1016/j.colsurfa.2018.09.009; Delia SC, 2019, FOOD CHEM, V272, P715, DOI 10.1016/j.foodchem.2018.08.069; Dey S., 2022, FOOD CHEM ADV, V1, DOI [10.1016/j.focha.2022.100019, DOI 10.1016/J.FOCHA.2022.100019]; Flores FP, 2015, FOOD CHEM, V168, P225, DOI 10.1016/j.foodchem.2014.07.059; Flores FP, 2014, FOOD CHEM, V153, P272, DOI 10.1016/j.foodchem.2013.12.063; Garzon GA, 2010, FOOD CHEM, V122, P980, DOI 10.1016/j.foodchem.2010.03.017; Gheribi R, 2019, INT J BIOL MACROMOL, V126, P238, DOI 10.1016/j.ijbiomac.2018.12.228; Rocha JDG, 2019, POWDER TECHNOL, V343, P317, DOI 10.1016/j.powtec.2018.11.040; Herrera-Balandrano DD, 2021, TRENDS FOOD SCI TECH, V118, P808, DOI 10.1016/j.tifs.2021.11.006; Janiszewska-Turak E, 2017, FOOD CHEM, V236, P134, DOI 10.1016/j.foodchem.2017.03.134; Jiang MH, 2023, J AGR FOOD RES, V11, DOI 10.1016/j.jafr.2022.100488; Jimenez-Aguilar DM, 2011, J FOOD COMPOS ANAL, V24, P889, DOI 10.1016/j.jfca.2011.04.012; Kaushik V, 2007, LWT-FOOD SCI TECHNOL, V40, P1381, DOI 10.1016/j.lwt.2006.10.008; Kwak HS, 2014, NANO- AND MICROENCAPSULATION FOR FOODS, P273; Machado MH, 2022, BIOCATAL AGR BIOTECH, V39, DOI 10.1016/j.bcab.2022.102287; Mahdi AA, 2020, INT J BIOL MACROMOL, V152, P1125, DOI 10.1016/j.ijbiomac.2019.10.201; Mariod A.A., 2018, GUM ARABIC STRUCTURE, P237; Medina-Torres L, 2019, IND CROP PROD, V138, DOI 10.1016/j.indcrop.2019.06.024; Melendez-Martinez AJ, 2003, J AGR FOOD CHEM, V51, P7266, DOI 10.1021/jf034873z; Niaz K, 2020, RECENT ADVANCES IN NATURAL PRODUCTS ANALYSIS, P39, DOI 10.1016/B978-0-12-816455-6.00003-2; Otalora MC, 2023, MOLECULES, V28, DOI 10.3390/molecules28020786; Otalora MC, 2022, POLYMERS-BASEL, V14, DOI 10.3390/polym14020310; Santiago MCPD, 2016, LWT-FOOD SCI TECHNOL, V73, P551, DOI 10.1016/j.lwt.2016.06.059; Pieczykolan E, 2019, INT J BIOL MACROMOL, V129, P665, DOI 10.1016/j.ijbiomac.2019.02.073; Prior RL, 2003, J AGR FOOD CHEM, V51, P3273, DOI 10.1021/jf0262256; Raj GVSB, 2022, FOOD BIOSCI, V49, DOI 10.1016/j.fbio.2022.101882; Ribeiro JS, 2021, FOOD HYDROCOLLOID, V112, DOI 10.1016/j.foodhyd.2020.106374; Sahoo S, 2015, J APPL POLYM SCI, V132, DOI 10.1002/app.42561; Santiago-Adame R, 2015, LWT-FOOD SCI TECHNOL, V64, P571, DOI 10.1016/j.lwt.2015.06.020; Shahidi F, 2015, J FUNCT FOODS, V18, P820, DOI 10.1016/j.jff.2015.06.018; Tabio-Garcia D, 2023, FOOD BIOSCI, V52, DOI 10.1016/j.fbio.2023.102368; Tonon RV, 2010, FOOD RES INT, V43, P907, DOI 10.1016/j.foodres.2009.12.013; Tupuna DS, 2018, IND CROP PROD, V111, P846, DOI 10.1016/j.indcrop.2017.12.001; Us-Medina U, 2018, POWDER TECHNOL, V334, P1, DOI 10.1016/j.powtec.2018.04.060; Woodward G, 2009, J AGR FOOD CHEM, V57, P5271, DOI 10.1021/jf900602b</t>
  </si>
  <si>
    <t>2304-8158</t>
  </si>
  <si>
    <t>Foods</t>
  </si>
  <si>
    <t>APR 27</t>
  </si>
  <si>
    <t>10.3390/foods12091811</t>
  </si>
  <si>
    <t>Food Science &amp; Technology</t>
  </si>
  <si>
    <t>G2AE6</t>
  </si>
  <si>
    <t>WOS:000987241100001</t>
  </si>
  <si>
    <t>Calle-Siguencia, J; Callejas-Cuervo, M; Garcia-Reino, S</t>
  </si>
  <si>
    <t>Calle-Siguencia, John; Callejas-Cuervo, Mauro; Garcia-Reino, Sebastian</t>
  </si>
  <si>
    <t>Integration of Inertial Sensors in a Lower Limb Robotic Exoskeleton</t>
  </si>
  <si>
    <t>SENSORS</t>
  </si>
  <si>
    <t>actuators; exoskeleton; inertial sensors; Imocap-GIS; motion cycle; UDP protocol; lower limb</t>
  </si>
  <si>
    <t>PREDICTION</t>
  </si>
  <si>
    <t>Motion assistance exoskeletons are designed to support the joint movement of people who perform repetitive tasks that cause damage to their health. To guarantee motion accompaniment, the integration between sensors and actuators should ensure a near-zero delay between the signal acquisition and the actuator response. This study presents the integration of a platform based on Imocap-GIS inertial sensors, with a motion assistance exoskeleton that generates joint movement by means of Maxon motors and Harmonic drive reducers, where a near zero-lag is required for the gait accompaniment to be correct. The Imocap-GIS sensors acquire positional data from the user's lower limbs and send the information through the UDP protocol to the CompactRio system, which constitutes a high-performance controller. These data are processed by the card and subsequently a control signal is sent to the motors that move the exoskeleton joints. Simulations of the proposed controller performance were conducted. The experimental results show that the motion accompaniment exhibits a delay of between 20 and 30 ms, and consequently, it may be stated that the integration between the exoskeleton and the sensors achieves a high efficiency. In this work, the integration between inertial sensors and an exoskeleton prototype has been proposed, where it is evident that the integration met the initial objective. In addition, the integration between the exoskeleton and IMOCAP is among the highest efficiency ranges of similar systems that are currently being developed, and the response lag that was obtained could be improved by means of the incorporation of complementary systems.</t>
  </si>
  <si>
    <t>[Calle-Siguencia, John; Garcia-Reino, Sebastian] Univ Politecn Salesiana, GIIB Res Dept, Cuenca 010102, Ecuador; [Callejas-Cuervo, Mauro] Univ Pedag &amp; Tecnol Colombia, Engn Dept, Software Res Grp, Tunja 150003, Colombia</t>
  </si>
  <si>
    <t>Universidad Politecnica Salesiana; Universidad Pedagogica y Tecnologica de Colombia (UPTC)</t>
  </si>
  <si>
    <t>Callejas-Cuervo, M (corresponding author), Univ Pedag &amp; Tecnol Colombia, Engn Dept, Software Res Grp, Tunja 150003, Colombia.</t>
  </si>
  <si>
    <t>jcalle@ups.edu.ec; mauro.callejas@uptc.edu.co; sebastian.garciar@ucuenca.edu.ec</t>
  </si>
  <si>
    <t>; Callejas Cuervo, Mauro/Q-6848-2019</t>
  </si>
  <si>
    <t>Garcia, Sebastian/0000-0002-8065-2652; Calle Siguencia, John Ignacio/0000-0002-2148-3297; Callejas Cuervo, Mauro/0000-0001-9894-8737</t>
  </si>
  <si>
    <t>Universidad Politecnica Salesiana de Ecuador; Universidad Pedagogica y Tecnologica de Colombia; Universidad Pedagogica y Tecnologica de Colombia [SGI 3303]</t>
  </si>
  <si>
    <t>Universidad Politecnica Salesiana de Ecuador; Universidad Pedagogica y Tecnologica de Colombia; Universidad Pedagogica y Tecnologica de Colombia</t>
  </si>
  <si>
    <t>This study was funded by the Universidad Politecnica Salesiana de Ecuador and Universidad Pedagogica y Tecnologica de Colombia, and the APC was funded by the Universidad Pedagogica y Tecnologica de Colombia (project number SGI 3303).</t>
  </si>
  <si>
    <t>[Anonymous], 2019, P IEEE ROBOTICS AUTO, P548, DOI [10.1109/ICORR.2019.8779433, DOI 10.1109/ICORR.2019.8779433]; Antwi-Afari MF, 2017, AUTOMAT CONSTR, V83, P41, DOI 10.1016/j.autcon.2017.07.007; Callejas-Cuervo M., 2018, REV POLIT CNICA, V14, P93, DOI [10.33571/rpolitec.v14n27a9, DOI 10.33571/RPOLITEC.V14N27A9]; Callejas-Cuervo M, 2019, REV FAC ING-UPTC, V29, DOI 10.19053/01211129.v29.n54.2020.10228; Callejas-Cuervo M, 2017, J BODYW MOV THER, V21, P574, DOI 10.1016/j.jbmt.2016.08.016; Camargo-Vargas D, 2021, SENSORS-BASEL, V21, DOI 10.3390/s21134312; Villa-Parra AC, 2017, SENSORS-BASEL, V17, DOI 10.3390/s17122751; Feican C., 2020, P 2020 IEEE ANDESCON, P9, DOI [10.1109/ANDESCON50619.2020.9272118, DOI 10.1109/ANDESCON50619.2020.9272118]; Fournier BN, 2018, IEEE T NEUR SYS REH, V26, P1596, DOI 10.1109/TNSRE.2018.2854605; Fukuchi RK, 2017, PEERJ, V5, DOI 10.7717/peerj.3298; Glowinski S, 2021, ACTA BIOENG BIOMECH, V24, DOI 10.37190/ABB-01991-2021-05; Gui K, 2019, IEEE-ASME T MECH, V24, P483, DOI 10.1109/TMECH.2019.2893055; Harandi VJ, 2020, MED ENG PHYS, V77, P95, DOI 10.1016/j.medengphy.2019.11.006; Hasan SMS, 2020, J NEUROENG REHABIL, V17, DOI 10.1186/s12984-020-00675-5; JRecio S., MECANICA ANALITICA L; Juszczak M, 2018, TOP SPINAL CORD INJ, V24, P336, DOI 10.1310/sci17-00055; Kilicarslan A, 2013, IEEE ENG MED BIO, P5606, DOI 10.1109/EMBC.2013.6610821; Kim JH, 2013, INT J ADV ROBOT SYST, V10, DOI 10.5772/55336; Kolaghassi R, 2021, IEEE ACCESS, V9, P113788, DOI 10.1109/ACCESS.2021.3104464; Liu DX, 2021, IEEE T SYST MAN CY-S, V51, P3759, DOI 10.1109/TSMC.2019.2932892; Liu DX, 2016, SENSORS-BASEL, V16, DOI 10.3390/s16101579; Ma Y, 2021, IEEE T AUTOM SCI ENG, V18, P414, DOI 10.1109/TASE.2020.2964807; Patzer I, 2019, IEEE INT C INT ROBOT, P8164, DOI 10.1109/IROS40897.2019.8968007; Perry-Rana SR, 2002, MUSCLE NERVE, V26, P367, DOI 10.1002/mus.10214; Plaza A, 2023, IEEE REV BIOMED ENG, V16, P278, DOI 10.1109/RBME.2021.3078001; Sanjaya KH, 2021, 2021 INTERNATIONAL CONFERENCE ON RADAR, ANTENNA, MICROWAVE, ELECTRONICS, AND TELECOMMUNICATIONS (ICRAMET), P264, DOI 10.1109/ICRAMET53537.2021.9650455; Sczesny-Kaiser Matthias, 2017, Front Neurosci, V11, P449, DOI 10.3389/fnins.2017.00449; Sun YX, 2022, ANNU REV CONTROL, V53, P83, DOI 10.1016/j.arcontrol.2022.04.003; Vargas-Valencia LS, 2016, SENSORS-BASEL, V16, DOI 10.3390/s16122090; Winter D A, 2009, BIOMECHANICS MOTOR C, DOI DOI 10.1002/9780470549148; Yi C., 2021, IEEE T COGN DEV SYST, DOI 10.1109/TCDS.2021.3126001</t>
  </si>
  <si>
    <t>1424-8220</t>
  </si>
  <si>
    <t>SENSORS-BASEL</t>
  </si>
  <si>
    <t>Sensors</t>
  </si>
  <si>
    <t>10.3390/s22124559</t>
  </si>
  <si>
    <t>Chemistry, Analytical; Engineering, Electrical &amp; Electronic; Instruments &amp; Instrumentation</t>
  </si>
  <si>
    <t>Chemistry; Engineering; Instruments &amp; Instrumentation</t>
  </si>
  <si>
    <t>2K3QR</t>
  </si>
  <si>
    <t>WOS:000816255400001</t>
  </si>
  <si>
    <t>Casierra-Posada, F; Pena-Olmos, JE</t>
  </si>
  <si>
    <t>Casierra-Posada, Fanor; Ernesto Pena-Olmos, Jaime</t>
  </si>
  <si>
    <t>Prolonged Waterlogging Reduces Growth and Yield in Broccoli Plants (Brassica oleracea var. italica)</t>
  </si>
  <si>
    <t>GESUNDE PFLANZEN</t>
  </si>
  <si>
    <t>Dry matter partitioning; Net assimilation rate; Dry weight; Foliar area; Chlorophyll; Stress</t>
  </si>
  <si>
    <t>STRESS; RESPONSES</t>
  </si>
  <si>
    <t>The crop of broccoli in tropical regions is of great importance among flowering vegetables; however, the yield of this crop is severely impacted by climatic variations that can cause floods. In Tunja, Colombia, a study was carried out under greenhouse conditions in which the tolerance of broccoli plants to prolonged waterlogging was evaluated. One group of plants were kept under waterlogging conditions until most of them showed severe symptoms of chlorosis while another group was grown under regularly drained and watered soil conditions as a control. Waterlogging caused the death of 20% of the plants, reduced the height of the plants by 42.9%, the thickness of the stem by 42.1%, the foliar area by 87%, the chlorophyll content in the leaves by 96.6%, and the total dry weight per plant by 79.9%. The absolute and relative growth rates decreased by 80 and 24.4%, respectively. Waterlogging also prevented flower production and caused a 23.7% increase in the accumulation of biomass in roots but reduced it by 24.5% in leaves. Likewise, the net assimilation rate fell 72.3% when waterlogged and the values of allometric variables which express growth were altered by this stressor. Consequently, it can be inferred that these plants have a low tolerance to waterlogging; however, the most severe impact caused by waterlogging was the inability of plants to develop flowers. The lack of flowers is devastating due to their economic and commercial importance of broccoli, and they are the primary justification for the cultivation of these plants.</t>
  </si>
  <si>
    <t>[Casierra-Posada, Fanor] Univ Pedag &amp; Tecnol Colombia, Plant Ecophysiol Res Grp, Tunja, Colombia; [Ernesto Pena-Olmos, Jaime] Escuela Normal Super Santiago Tunja, Secretaria Educ Tunja, Plant Ecophysiol Res Grp, Tunja, Colombia</t>
  </si>
  <si>
    <t>Casierra-Posada, F (corresponding author), Univ Pedag &amp; Tecnol Colombia, Plant Ecophysiol Res Grp, Tunja, Colombia.</t>
  </si>
  <si>
    <t>fanor.casierra@uptc.edu.co</t>
  </si>
  <si>
    <t>Casierra-Posada, Fanor/0000-0001-7508-5174</t>
  </si>
  <si>
    <t>Faculty of Agricultural Sciences of the Universidad Pedagogica y Tecnologica de Colombia-UPTC</t>
  </si>
  <si>
    <t>This study was funded by the Faculty of Agricultural Sciences of the Universidad Pedagogica y Tecnologica de Colombia-UPTC, within the framework of the research work of the Plant Ecophysiology Group.</t>
  </si>
  <si>
    <t>Aldana Fernando, 2014, Rev. acad. colomb. cienc. exact. fis. nat., V38, P393; Casierra-Posada Fánor, 2017, rev.udcaactual.divulg.cient., V20, P321; Casierra-Posada Fánor, 2008, Agron. colomb., V26, P381; Casierra-Posada F., 2007, Revista Colombiana de Ciencias Horticolas, V1, P21; Chen S, 2021, ENVIRON EXP BOT, V191, DOI 10.1016/j.envexpbot.2021.104599; da-Silva CJ, 2020, ENVIRON EXP BOT, V176, DOI 10.1016/j.envexpbot.2020.104078; DANE (Departamento Administrativo Nacional de Estadistica), 2020, BOL TEC; Fischer Gerhard, 2016, Agron. colomb., V34, P190, DOI 10.15446/agron.colomb.v34n2.56799; Fukao T, 2019, FRONT PLANT SCI, V10, DOI 10.3389/fpls.2019.00340; Hunt R., 1990, BASIC GROWTH ANAL PL, DOI [10.1007/978-94-010-9117-6, DOI 10.1007/978-94-010-9117-6]; Issarakraisila M, 2007, SCI HORTIC-AMSTERDAM, V111, P107, DOI 10.1016/j.scienta.2006.10.017; Li Y, 2021, GENOMICS, V113, P2583, DOI 10.1016/j.ygeno.2021.06.005; Lin HH, 2015, BOT STUD, V56, DOI 10.1186/s40529-015-0098-2; Parent C, 2008, PLANT STRESS, V2, P20, DOI DOI 10.1038/S41598-020-73072-6; Ramirez B.V.H., 2009, CENICAFE CALDAS COLO, V60, P161; Toral-Juarez MA, 2021, ENVIRON EXP BOT, V182, DOI 10.1016/j.envexpbot.2020.104311; VERNON AJ, 1963, NATURE, V200, P814, DOI 10.1038/200814a0; Wang XD, 2020, IND CROP PROD, V147, DOI 10.1016/j.indcrop.2020.112269; Wang XS, 2017, PLOS ONE, V12, DOI 10.1371/journal.pone.0169029; Xia JA, 2019, COMPUT ELECTRON AGR, V159, P59, DOI 10.1016/j.compag.2019.02.022; Ding XY, 2020, J INTEGR AGR, V19, P1974, DOI 10.1016/S2095-3119(19)62783-8; Zhou WG, 2020, PLANT PHYSIOL BIOCH, V148, P228, DOI 10.1016/j.plaphy.2020.01.020</t>
  </si>
  <si>
    <t>0367-4223</t>
  </si>
  <si>
    <t>1439-0345</t>
  </si>
  <si>
    <t>GESUNDE PFLANZ</t>
  </si>
  <si>
    <t>Gesunde Pflanz.</t>
  </si>
  <si>
    <t>10.1007/s10343-021-00605-y</t>
  </si>
  <si>
    <t>JAN 2022</t>
  </si>
  <si>
    <t>Agronomy</t>
  </si>
  <si>
    <t>1C5QT</t>
  </si>
  <si>
    <t>WOS:000739234200001</t>
  </si>
  <si>
    <t>Castaneda, C; Martinez, JJ; Mesa, A</t>
  </si>
  <si>
    <t>Castaneda, Claudia; Martinez, Jose J.; Mesa, Andres</t>
  </si>
  <si>
    <t>Esterification of levulinic acid via catalytic and photocatalytic processes using fluorinated titanium dioxide materials</t>
  </si>
  <si>
    <t>REVISTA FACULTAD DE INGENIERIA-UNIVERSIDAD DE ANTIOQUIA</t>
  </si>
  <si>
    <t>Catalysis; photocatalysis; levulinic acid; esterification; TiO2 - F</t>
  </si>
  <si>
    <t>NANOTUBES</t>
  </si>
  <si>
    <t>This study evaluated the synthesis, characterization, and activity of fluorinated titanium dioxide materials [TiO2 - F1% and TiO2 - F5%] in-situ modified by the sol-gel method in the esterification reaction of levulinic acid conducted by catalytic and photocatalytic processes. The physicochemical properties of the materials were determined by X-ray diffraction, UV-Vis diffuse reflectance spectroscopy, thermal analysis, and pyridine adsorption. It was found that the inclusion of fluoride anion causes a decrease in the levulinic acid conversion by photocatalytic reaction; however, in the catalytic activation, a slight increase in the conversion using the fluoride materials was observed. Finally, the reaction in the presence of halogenated solvents [CCl4] by photolysis reaction favors a conversion of 100% in 1h.</t>
  </si>
  <si>
    <t>[Castaneda, Claudia; Martinez, Jose J.; Mesa, Andres] Univ Pedag &amp; Tecnol Colombia, Escuela Ciencias Quim, Grp Catalisis UPTC, Sede Cent Tunja, Ave Cent Norte 39-115, Boyaca AA1094, Colombia</t>
  </si>
  <si>
    <t>Castaneda, C (corresponding author), Univ Pedag &amp; Tecnol Colombia, Escuela Ciencias Quim, Grp Catalisis UPTC, Sede Cent Tunja, Ave Cent Norte 39-115, Boyaca AA1094, Colombia.</t>
  </si>
  <si>
    <t>claudia.castaneda.mar@gmail.com</t>
  </si>
  <si>
    <t>Martínez, José/G-1924-2018</t>
  </si>
  <si>
    <t>Martínez, José/0000-0002-4906-7121; Castaneda Martinez, Claudia Patricia/0000-0002-5360-2756</t>
  </si>
  <si>
    <t>Vicerrectoria de Investigacion y Extension, Universidad Pedagogica y Tecnologica de Colombia [SGI 3344]</t>
  </si>
  <si>
    <t>Vicerrectoria de Investigacion y Extension, Universidad Pedagogica y Tecnologica de Colombia</t>
  </si>
  <si>
    <t>This work was supported by Vicerrectoria de Investigacion y Extension, Universidad Pedagogica y Tecnologica de Colombia by the project SGI 3344.</t>
  </si>
  <si>
    <t>Al-Shaal M., 2015, CATALSCITECHNOL, V5; BART HJ, 1994, IND ENG CHEM RES, V33, P21, DOI 10.1021/ie00025a004; Corro G., 2013, APPL CATAL B-ENVIRON, V129; Dharne S, 2011, J NAT GAS CHEM, V20, P18, DOI 10.1016/S1003-9953(10)60147-8; Enumula SS, 2017, J MOL CATAL A-CHEM, V426, P30, DOI 10.1016/j.molcata.2016.10.032; Guzman V., 2014, GREEN SUSTAINABLE CH, V4; Hwu JR, 2004, TETRAHEDRON LETT, V45, P5151, DOI 10.1016/j.tetlet.2004.04.155; Kiyomi L., 2003, CATAL TODAY, V85; Korosi L, 2007, APPL CATAL B-ENVIRON, V77, P175, DOI 10.1016/j.apcatb.2007.07.019; Li SS, 2015, APPL CATAL B-ENVIRON, V170, P124, DOI 10.1016/j.apcatb.2015.01.022; Li X, 2011, FUEL, V90, P2530, DOI 10.1016/j.fuel.2011.03.025; Lilja J, 2002, J MOL CATAL A-CHEM, V182, P555, DOI 10.1016/S1381-1169(01)00495-2; Manique MC, 2016, MATER SCI ENG B-ADV, V206, P17, DOI 10.1016/j.mseb.2016.01.001; Mesa M., 2020, REV FAC ING-UNIV ANT, V94; Murcia JJ, 2015, APPL CATAL B-ENVIRON, V179, P305, DOI 10.1016/j.apcatb.2015.05.040; Murcia Mesa Julie Joseane, 2017, Ciencia en Desarrollo, V8, P109; Murugan K, 2011, MATER CHEM PHYS, V129, P810, DOI 10.1016/j.matchemphys.2011.05.011; Nandiwale KY, 2015, CHEM ENG TECHNOL, V38, P246, DOI 10.1002/ceat.201400326; Negahdar L, 2017, CHEM ENG SCI, V158, P545, DOI 10.1016/j.ces.2016.11.007; Rodriguez A., 2020, CIENCIA DESARROLLO, V11; Silva M., 2011, HETEROGENEOUS CATALY; Thapa I, 2017, APPL CATAL A-GEN, V539, P70, DOI 10.1016/j.apcata.2017.03.016; Verma P, 2017, J PHOTOCH PHOTOBIO A, V336, P170, DOI 10.1016/j.jphotochem.2016.11.021; Wen JQ, 2015, CHINESE J CATAL, V36, P2049, DOI 10.1016/S1872-2067(15)60999-8; Yang KS, 2008, CHEM MATER, V20, P6528, DOI 10.1021/cm801741m; Yu JC, 2002, CHEM MATER, V14, P3808, DOI 10.1021/cm020027c; Yu JG, 2009, J PHYS CHEM C, V113, P6743, DOI 10.1021/jp900136q</t>
  </si>
  <si>
    <t>IMPRENTA UNIV ANTIOQUIA</t>
  </si>
  <si>
    <t>MEDELLIN</t>
  </si>
  <si>
    <t>67 N 53-108, BLOQUE 28, CIUDAD UNIV, UNIV ANTIQUIA, MEDELLIN, 00000, COLOMBIA</t>
  </si>
  <si>
    <t>0120-6230</t>
  </si>
  <si>
    <t>2422-2844</t>
  </si>
  <si>
    <t>REV FAC ING-UNIV ANT</t>
  </si>
  <si>
    <t>Rev. Fac. Ing.-Univ. Antioquia</t>
  </si>
  <si>
    <t>OCT-DEC</t>
  </si>
  <si>
    <t>10.17533/udea.redin.20210531</t>
  </si>
  <si>
    <t>3A9PJ</t>
  </si>
  <si>
    <t>Green Submitted, gold</t>
  </si>
  <si>
    <t>WOS:000827583900003</t>
  </si>
  <si>
    <t>Morillo-Coronado, AC; Manjarres-Hernandez, EH; Pedreros-Benavides, MC</t>
  </si>
  <si>
    <t>Morillo-Coronado, Ana Cruz; Manjarres-Hernandez, Elsa Helena; Pedreros-Benavides, Maria Camila</t>
  </si>
  <si>
    <t>Genetic diversity of quinoa (Chenopodium quinoa Willd.) from Cundinamarca, Colombia</t>
  </si>
  <si>
    <t>PLANT GENETIC RESOURCES-CHARACTERIZATION AND UTILIZATION</t>
  </si>
  <si>
    <t>Genetic diversity; germplasm; molecular markers; plant breeding</t>
  </si>
  <si>
    <t>POPULATION-STRUCTURE; SEQUENCE; MARKERS</t>
  </si>
  <si>
    <t>Chenopodium quinoa W. is a species of South America with an exceptional nutritional content and wide agroclimatological adaptation. It has great genetic and phenotypic variability, however in Colombia there are few genetic improvement programmes that take advantage of its great genetic and productive potential. In Cundinamarca there are some adapted genotypes which have been selected by farmers. We evaluated 36 genotypes of Blanca de Jerico, Blanca Subachoque, Aurora, Purpura and Tunkahuan from Cundinamarca, using eight ISSR markers. The analysis by the coefficient of Nei-Li at the level of similarity of 0.40 divided the population into three groups according their background genetic and the colour of oxalates. The percentage of polymorphic loci was higher than 90%. The average value of heterozygosity was 0.32, which is low given the selection processes that the evaluated germplasm has undergone. We found moderate genetic differentiation (Fst = 0.23). The analysis of molecular variance (AMOVA) showed higher variation (77%) groups than among groups (23%). The results revealed intra-population diversity, which suggests that farmers within their farms should undergo a more rigorous seed selection process. Our results demonstrate that ISSR markers are useful and powerful to assess the genetic relationships, polymorphism and genetic diversity of quinoa cultivars. The genetic characterization results reported in the present study will be promising for guiding the breeding of quinoa seed quality in Colombia.</t>
  </si>
  <si>
    <t>[Morillo-Coronado, Ana Cruz] Univ Pedag &amp; Tecnol Colombia, Fac Ciencias Agr, Programa Ingn Agron, Ave Cent Norte 39-115, Tunja 150001, Boyaca, Colombia; [Manjarres-Hernandez, Elsa Helena] Univ Pedag &amp; Tecnol Colombia, Fac Ciencias, Ciencias Biol &amp; Ambientales, Ave Cent Norte 39-115, Tunja 150001, Boyaca, Colombia; [Pedreros-Benavides, Maria Camila] Univ Pedag &amp; Tecnol Colombia, Fac Ciencias Agr, Grp Invest Competit Innovac &amp; Desarrollo Empresar, Ave Cent Norte 39-115, Tunja 150001, Boyaca, Colombia</t>
  </si>
  <si>
    <t>Morillo-Coronado, AC (corresponding author), Univ Pedag &amp; Tecnol Colombia, Fac Ciencias Agr, Programa Ingn Agron, Ave Cent Norte 39-115, Tunja 150001, Boyaca, Colombia.</t>
  </si>
  <si>
    <t>ana.morillo@uptc.edu.co</t>
  </si>
  <si>
    <t>Manjarres Hernández, Elsa Helena/HHN-6350-2022</t>
  </si>
  <si>
    <t>Manjarres Hernández, Elsa Helena/0000-0001-6221-8636; Morillo Coronado, Ana Cruz/0000-0003-3125-0697</t>
  </si>
  <si>
    <t>Universidad Pedagogica y Tecnologica de Colombia, Vicerrectoria de Investigacion y Extension, Grupo de Investigacion Competitividad, Innovacion y Desarrollo Empresarial (CIDE) [SGI 3107]</t>
  </si>
  <si>
    <t>Universidad Pedagogica y Tecnologica de Colombia, Vicerrectoria de Investigacion y Extension, Grupo de Investigacion Competitividad, Innovacion y Desarrollo Empresarial (CIDE)</t>
  </si>
  <si>
    <t>To the 'Universidad Pedagogica y Tecnologica de Colombia, Vicerrectoria de Investigacion y Extension, Grupo de Investigacion Competitividad, Innovacion y Desarrollo Empresarial (CIDE)' SGI 3107.</t>
  </si>
  <si>
    <t>Al-Naggar AMM., 2017, BIOTECHNOLOGY J INT, V20, P1, DOI [10.9734/BJI/2017/37053, DOI 10.9734/BJI/2017/37053]; Bhargava A, 2007, FIELD CROP RES, V101, P104, DOI 10.1016/j.fcr.2006.10.001; Bodrug-Schepers A, 2021, THEOR APPL GENET, V134, P3577, DOI 10.1007/s00122-021-03915-x; Platten JD, 2019, PLOS ONE, V14, DOI 10.1371/journal.pone.0210529; Dellaporta S.L., 1983, PLANT MOL BIOL REP, V1, P19, DOI DOI 10.1007/BF02712670; Earl DA, 2012, CONSERV GENET RESOUR, V4, P359, DOI 10.1007/s12686-011-9548-7; EL-Harty EH, 2021, AGRICULTURE-BASEL, V11, DOI 10.3390/agriculture11040286; Evanno G, 2005, MOL ECOL, V14, P2611, DOI 10.1111/j.1365-294X.2005.02553.x; Fuentes FF, 2012, J AGR SCI-CAMBRIDGE, V150, P702, DOI 10.1017/S0021859612000056; Galindo R., 2021, FOOD CHEM, V341, P1; Garcia-Parra M, 2020, CHIL J AGR RES, V80, P290, DOI 10.4067/S0718-58392020000200290; Hubisz MJ, 2009, MOL ECOL RESOUR, V9, P1322, DOI 10.1111/j.1755-0998.2009.02591.x; Iftikhar A., 2021, ENVIRON GEOCHEM HLTH, V1, P1; Jaikishun S, 2019, AGRONOMY-BASEL, V9, DOI 10.3390/agronomy9040176; Laosatit Kularb, 2021, Agriculture and Natural Resources, V55, P341, DOI 10.34044/j.anres.2021.55.3.03; Manjarres-Hernandez EH, 2021, PLANTS-BASEL, V10, DOI 10.3390/plants10071339; Manjarres-Hernandez EH, 2021, EUPHYTICA, V217, DOI 10.1007/s10681-021-02837-5; Melini V, 2021, FOODS, V10, DOI 10.3390/foods10020351; Morillo AC, 2020, GENET MOL RES, V19, DOI 10.4238/gmr18667; Morillo C. A. C., 2020, African Journal of Agricultural Research, V16, P1195, DOI 10.5897/AJAR2020.14916; Morillo Coronado A. C., 2017, African Journal of Biotechnology, V16, P483; Munoz Florez J. E., 2008, Acta Agronomica, Universidad Nacional de Colombia, V57, P219; NEI M, 1979, P NATL ACAD SCI USA, V76, P5269, DOI 10.1073/pnas.76.10.5269; Noulas C, 2017, COMMUN SOIL SCI PLAN, V48, P2612, DOI 10.1080/00103624.2017.1416129; OTT J, 1992, AM J HUM GENET, V51, P283; Pritchard JK, 2000, GENETICS, V155, P945; Romero M, 2019, CIENC INVESTIG AGRAR, V46, P166, DOI 10.7764/rcia.v45i2.2144; Saad-Allah KM, 2018, PHYSIOL MOL BIOL PLA, V24, P617, DOI 10.1007/s12298-018-0541-4; Salazar J, 2019, EUPHYTICA, V215, DOI 10.1007/s10681-019-2371-z; Schmockel SM, 2017, FRONT PLANT SCI, V8, DOI 10.3389/fpls.2017.01023; Shahrajabian MH, 2021, GENET RESOUR CROP EV, V68, P1709, DOI 10.1007/s10722-021-01148-x; Shen Y., 2021, FOOD CHEM, V339, P1; Wang MX, 2019, ANN APPL BIOL, V175, P415, DOI 10.1111/aab.12545; WRIGHT S, 1978, P580; Yasui Y, 2016, DNA RES, V23, P535, DOI 10.1093/dnares/dsw037; Zhang TF, 2017, BMC GENOMICS, V18, DOI 10.1186/s12864-017-4093-8</t>
  </si>
  <si>
    <t>CAMBRIDGE UNIV PRESS</t>
  </si>
  <si>
    <t>EDINBURGH BLDG, SHAFTESBURY RD, CB2 8RU CAMBRIDGE, ENGLAND</t>
  </si>
  <si>
    <t>1479-2621</t>
  </si>
  <si>
    <t>1479-263X</t>
  </si>
  <si>
    <t>PLANT GENET RESOUR-C</t>
  </si>
  <si>
    <t>Plant Genet. Resour.-Charact. Util.</t>
  </si>
  <si>
    <t>2023 MAR 6</t>
  </si>
  <si>
    <t>PII S1479262123000060</t>
  </si>
  <si>
    <t>10.1017/S1479262123000060</t>
  </si>
  <si>
    <t>MAR 2023</t>
  </si>
  <si>
    <t>Plant Sciences; Genetics &amp; Heredity</t>
  </si>
  <si>
    <t>9O3HR</t>
  </si>
  <si>
    <t>WOS:000943494800001</t>
  </si>
  <si>
    <t>Otalora, MC; Wilches-Torres, A; Castano, JAG</t>
  </si>
  <si>
    <t>Evaluation of Guava Pulp Microencapsulated in Mucilage of Aloe Vera and Opuntia ficus-indica as a Natural Dye for Yogurt: Functional Characterization and Color Stability</t>
  </si>
  <si>
    <t>microencapsulation; spray drying; yogurt; natural colorant; aloe vera; Opuntia ficus-indica</t>
  </si>
  <si>
    <t>ANTIOXIDANT ACTIVITY; ANTHOCYANIN; CAROTENE; BENEFITS</t>
  </si>
  <si>
    <t>The substitution of artificial colorants for pigments extracted from fruits is a highly desirable strategy in the food industry for the manufacture of natural, functional, and safe products. In this work, a 100% natural spray-dried (SD) microencapsulated colorant of pink guava pulp, using aloe vera (AV) or Opuntia ficus-indica (OFI) mucilage as functional encapsulating material, was prepared and evaluated as an additive into a yogurt (Y) matrix. The characterization of yogurt samples supplemented with OFI (Y-SD-OFI) and AV (Y-SD-AV) mucilage-covered guava pulp microcapsules was carried out through carotenoid quantification using UV-vis and HPLC-MS techniques, dietary fiber content, antioxidant capacity, colorimetry, and textural analysis, as well as by an evaluation of color stability after 25 days of storage at 4 degrees C in the dark. These physicochemical characteristics and color stability on the Y-SD-OFI and Y-SD-AV samples were compared with those of a commercial yogurt (control sample, Y-C) containing sunset yellow FCF synthetic colorant (E110). Y-SD-OFI and Y-SD-AV samples exhibited a high content of lycopene, dietary fiber, and antioxidant activity, which were absent in the control sample. Microencapsulated lycopene imparted a highly stable color to yogurt, contrary to the effect provided by the E110 dye in the control sample. The texture profile analysis revealed an increase in firmness, consistency, and cohesion in the Y-SD-OFI sample, contrary to the Y-SD-AV and Y-C samples, which was attributed to the variation in fiber concentration in the microcapsules. The incorporation of OFI and AV mucilage microparticles containing pink guava pulp into yogurt demonstrated its potential application as a functional natural colorant for dairy products.</t>
  </si>
  <si>
    <t>[Carolina Otalora, Maria; Wilches-Torres, Andrea] Univ Boyaca, Fac Ciencias &amp; Ingn, Grp Invest Ciencias Basicas NUCLEO, Tunja 050030, Boyaca, Colombia; [Gomez Castano, Jovanny A.] Univ Pedag &amp; Tecnol Colombia, Grp Quim Fis Mol &amp; Modelamiento Computac QUIMOLO, Sede Tunja, Escuela Ciencias Quim, Ave Cent Norte, Tunja 050030, Boyaca, Colombia</t>
  </si>
  <si>
    <t>Otalora, MC (corresponding author), Univ Boyaca, Fac Ciencias &amp; Ingn, Grp Invest Ciencias Basicas NUCLEO, Tunja 050030, Boyaca, Colombia.;Castano, JGA (corresponding author), Univ Pedag &amp; Tecnol Colombia, Grp Quim Fis Mol &amp; Modelamiento Computac QUIMOLO, Sede Tunja, Escuela Ciencias Quim, Ave Cent Norte, Tunja 050030, Boyaca, Colombia.</t>
  </si>
  <si>
    <t>marotalora@uniboyaca.co; joyanny.gomez@uptc.edu.co</t>
  </si>
  <si>
    <t>This research was funded by the Universidad de Boyaca and the Universidad Pedagogica y Tecnologica de Colombia.</t>
  </si>
  <si>
    <t>Adinepour F, 2022, FOOD RES INT, V151, DOI 10.1016/j.foodres.2022.111212; Amchova P, 2015, REGUL TOXICOL PHARM, V73, P914, DOI 10.1016/j.yrtph.2015.09.026; [Anonymous], B 290 MINI SPRAY DRY; Bakry AM, 2016, COMPR REV FOOD SCI F, V15, P143, DOI 10.1111/1541-4337.12179; Bassijeh A, 2020, FOOD RES INT, V137, DOI 10.1016/j.foodres.2020.109689; Borreani J, 2017, FOOD CHEM, V220, P137, DOI 10.1016/j.foodchem.2016.09.202; de Queiroz JLC, 2022, FOOD CHEM, V385, DOI 10.1016/j.foodchem.2022.132593; Chen WJ, 2022, FOOD CHEM, V375, DOI 10.1016/j.foodchem.2021.131706; Chung C, 2015, FOOD RES INT, V76, P761, DOI 10.1016/j.foodres.2015.07.003; Cunniff P, 1997, OFFICIAL METHODS ANA, V16th ed.; Dai SH, 2016, J DAIRY SCI, V99, P7063, DOI 10.3168/jds.2016-11131; de Campo C, 2019, FOOD CHEM, V301, DOI 10.1016/j.foodchem.2019.125230; Di Rienzo J.A., INFOSTAT VERSION 201; Dick M, 2019, INT J BIOL MACROMOL, V123, P900, DOI 10.1016/j.ijbiomac.2018.11.126; Estupinan DC, 2011, J FOOD SCI, V76, pS26, DOI 10.1111/j.1750-3841.2010.01935.x; FDA, 2020, OV FOOD INGR ADD COL; Gad A., 2015, INT J FOOD NUTR SCI, V4, P21; Gomez-Estaca J, 2018, FOOD BIOPROCESS TECH, V11, P1596, DOI 10.1007/s11947-018-2116-3; Hedayati S, 2021, TRENDS FOOD SCI TECH, V118, P356, DOI 10.1016/j.tifs.2021.10.022; Iturriaga L, 2009, ACTA HORTIC, V811, P427, DOI 10.17660/ActaHortic.2009.811.59; Jovanovic J, 2017, IOP C SER EARTH ENV, V85, DOI 10.1088/1755-1315/85/1/012081; Juric S, 2022, FOOD REV INT, V38, P1735, DOI 10.1080/87559129.2020.1837862; Kim S, 2002, J FOOD SCI, V67, P2957, DOI 10.1111/j.1365-2621.2002.tb08845.x; Mesnier X, 2014, FOOD RES INT, V65, P149, DOI 10.1016/j.foodres.2014.06.025; Messina CM, 2021, FOOD HYDROCOLLOID, V111, DOI 10.1016/j.foodhyd.2020.106398; Mihalcea L, 2018, FOOD CHEM, V262, P30, DOI 10.1016/j.foodchem.2018.04.067; Otalora MC, 2022, POLYMERS-BASEL, V14, DOI 10.3390/polym14020310; Otalora MC, 2021, POLYMERS-BASEL, V13, DOI 10.3390/polym13111689; Paseephol T, 2008, J TEXTURE STUD, V39, P617, DOI 10.1111/j.1745-4603.2008.00161.x; Patel P, 2019, J FOOD SCI TECH MYS, V56, P3721, DOI 10.1007/s13197-019-03844-0; Re R, 1999, FREE RADICAL BIO MED, V26, P1231, DOI 10.1016/S0891-5849(98)00315-3; Rodriguez-Amaya DB, 2019, FOOD RES INT, V124, P200, DOI 10.1016/j.foodres.2018.05.028; Rodriguez-Concepcion M, 2018, PROG LIPID RES, V70, P62, DOI 10.1016/j.plipres.2018.04.004; Rutz JK, 2017, FOOD CHEM, V220, P59, DOI 10.1016/j.foodchem.2016.09.194; Samborska K, 2021, TRENDS FOOD SCI TECH, V108, P297, DOI 10.1016/j.tifs.2021.01.008; Santos PDD, 2021, FOOD RES INT, V147, DOI 10.1016/j.foodres.2021.110571; Silva MP, 2022, INT DAIRY J, V125, DOI 10.1016/j.idairyj.2021.105230; Strickland JM, 2021, J DAIRY SCI, V104, P915, DOI 10.3168/jds.2020-18693</t>
  </si>
  <si>
    <t>AUG</t>
  </si>
  <si>
    <t>10.3390/foods11152380</t>
  </si>
  <si>
    <t>3S7JP</t>
  </si>
  <si>
    <t>WOS:000839768600001</t>
  </si>
  <si>
    <t>Otalora, MC; Wilches-Torres, A; Lara, CR; Cifuentes, GR; Castano, JAG</t>
  </si>
  <si>
    <t>Carolina Otalora, Maria; Wilches-Torres, Andrea; Rafael Lara, Carlos; Ricardo Cifuentes, Gabriel; Gomez Castano, Jovanny A.</t>
  </si>
  <si>
    <t>Use of Opuntia ficus-indica Fruit Peel as a Novel Source of Mucilage with Coagulant Physicochemical/Molecular Characteristics</t>
  </si>
  <si>
    <t>Opuntia ficus-indica; mucilage; natural coagulant; wastewater; water treatment</t>
  </si>
  <si>
    <t>CACTUS; OPTIMIZATION; FLOCCULATION; POLYSACCHARIDE; TURBIDITY</t>
  </si>
  <si>
    <t>The peels obtained as a byproduct from the processing of fruits (prickly pears) of the Cactaceae family are a rich source of mucilage, a hydrocolloid biopolymer that may have potential application in water/wastewater treatment as a natural coagulant. In this study, the structural (UPLC-QTOF-MS, FTIR, Raman, NMR, XRD, and zeta potential), morphological (SEM), and thermal (DSC/TGA) characterizations of the mucilage extracted from the peels of Opuntia ficus-indica (OFI) fruits were carried out. UPLC-QTOF-MS results revealed the presence of a branched polymer with an average molecular weight of 0.44 KDa for this mucilage in aqua media. The NMR spectra of mucilage in DMSO-d6 indicated that it seemed well-suited as a coagulant with its typical oligosaccharide structure. FTIR studies confirmed the presence of hydroxyl and carboxyl functional groups in the mucilage, indicating its polyelectrolyte nature that could provide coagulating properties through binding and adsorption mechanisms. Likewise, the zeta potential of -23.63 +/- 0.55 mV showed an anionic nature of the mucilage. Power XRD technique evidenced the presence of crystalline poly(glycine-beta-alanine), glutamic acid, and syn-whewellite. SEM images revealed an irregular and amorphous morphology with cracks, which are suitable characteristics for adsorption mechanisms. The mucilage exhibited two endothermic transitions, with a decomposition temperature in uronic acid of 423.10 degrees C. These findings revealed that mucilage obtained from OFI fruit peels has molecular and physicochemical characteristics that are suited to its possible application as a natural coagulant in water/wastewater treatments.</t>
  </si>
  <si>
    <t>[Carolina Otalora, Maria; Wilches-Torres, Andrea] Univ Boyaca, Fac Ciencias &amp; Ingn, Grp Invest Ciencias Basicas NUCLEO, Tunja 150003, Colombia; [Rafael Lara, Carlos; Ricardo Cifuentes, Gabriel] Univ Boyaca, Fac Ciencias &amp; Ingn, Grp Gest Recursos Hidr, Tunja 050030, Colombia; [Gomez Castano, Jovanny A.] Univ Pedag &amp; Tecnol Colombia, Sede Tunja, Escuela Ciencias Quim, Grp Quim Fis Mol &amp; Modelamiento Computac QUIMOL, Ave Cent Norte, Tunja 050030, Colombia</t>
  </si>
  <si>
    <t>Otalora, MC (corresponding author), Univ Boyaca, Fac Ciencias &amp; Ingn, Grp Invest Ciencias Basicas NUCLEO, Tunja 150003, Colombia.;Castano, JGA (corresponding author), Univ Pedag &amp; Tecnol Colombia, Sede Tunja, Escuela Ciencias Quim, Grp Quim Fis Mol &amp; Modelamiento Computac QUIMOL, Ave Cent Norte, Tunja 050030, Colombia.</t>
  </si>
  <si>
    <t>marotalora@uniboyaca.edu.co; joyanny.gomez@uptc.edu.co</t>
  </si>
  <si>
    <t>Gómez Castaño, Jovanny A./0000-0002-6654-1315; Wilches-Torres, Andrea/0000-0002-7980-2342; Lara-Mendoza, Carlos-Rafael/0000-0003-1475-5060; Cifuentes Osorio, Gabriel Ricardo/0000-0002-5118-0174; Otalora, Maria Carolina/0000-0003-0594-1363</t>
  </si>
  <si>
    <t>The authors greatly acknowledge the support provided by the Universidad de Boyaca and the Universidad Pedagogica y Tecnologica de Colombia.</t>
  </si>
  <si>
    <t>Aboulhassan M.A., 2014, INT J SCI ENV TECHNO, V3, P1747; Amaya-Cruz DM, 2019, FOOD CHEM, V278, P568, DOI 10.1016/j.foodchem.2018.11.031; Andreu-Coll L, 2019, J FOOD COMPOS ANAL, V84, DOI 10.1016/j.jfca.2019.103294; Asharuddin SM, 2021, ENVIRON TECHNOL INNO, V23, DOI 10.1016/j.eti.2021.101637; Belbahloul M., 2014, INT J SCI ENG TECHNO, V3, P734; Bouaouine O, 2019, SEP PURIF TECHNOL, V209, P892, DOI 10.1016/j.seppur.2018.09.036; Bouatay F, 2014, INT J ENVIRON RES, V8, P1295; Bustillos L.G.T., 2013, INT J BIOTECHNOL RES, V1, P38; Choudhary M, 2019, SEP PURIF TECHNOL, V209, P714, DOI 10.1016/j.seppur.2018.09.033; Salgado-Cruz MD, 2013, IND CROP PROD, V51, P453, DOI 10.1016/j.indcrop.2013.09.036; Fard MB, 2021, J WATER PROCESS ENG, V40, DOI 10.1016/j.jwpe.2020.101763; Feihrmann A.N.C., 2017, CHEM ENG TRANS, P1543, DOI [10.3303/ CET1757258, 10.3303/CET1757258, DOI 10.3303/CET1757258]; de Souza MTF, 2014, ENVIRON MONIT ASSESS, V186, P5261, DOI 10.1007/s10661-014-3775-9; Freitas TKFS, 2015, IND CROP PROD, V76, P538, DOI 10.1016/j.indcrop.2015.06.027; Gheribi R, 2019, INT J BIOL MACROMOL, V126, P238, DOI 10.1016/j.ijbiomac.2018.12.228; Han YL, 2016, CARBOHYD POLYM, V151, P381, DOI 10.1016/j.carbpol.2016.05.085; Isemura M, 2019, MOLECULES, V24, DOI 10.3390/molecules24030528; Jiang JQ, 2015, CURR OPIN CHEM ENG, V8, P36, DOI 10.1016/j.coche.2015.01.008; Kim ITS, 2020, J WATER PROCESS ENG, V37, DOI 10.1016/j.jwpe.2020.101500; Kumar D, 2020, INT J BIOL MACROMOL, V163, P2097, DOI 10.1016/j.ijbiomac.2020.09.060; Kumar R, 2013, CHEM ENG J, V226, P377, DOI 10.1016/j.cej.2013.04.063; Kumar V, 2020, INT J INTEGR ENG, V12, P241; Matsuhiro B, 2006, CARBOHYD POLYM, V63, P263, DOI 10.1016/j.carbpol.2005.08.062; Melgar B, 2017, IND CROP PROD, V107, P353, DOI 10.1016/j.indcrop.2017.06.011; Mirbahoush SM, 2019, CHEMOSPHERE, V231, P51, DOI 10.1016/j.chemosphere.2019.05.118; Muniz GL, 2020, J WATER PROCESS ENG, V37, DOI 10.1016/j.jwpe.2020.101453; Nath A, 2021, MATER TODAY-PROC, V46, P6113, DOI 10.1016/j.matpr.2020.03.551; Nharingo T, 2016, J ENVIRON MANAGE, V166, P55, DOI 10.1016/j.jenvman.2015.10.005; Okoro BU, 2021, J ENVIRON CHEM ENG, V9, DOI 10.1016/j.jece.2021.106588; Pelaez-Cid AA, 2013, IOP CONF SER-MAT SCI, V45, DOI 10.1088/1757-899X/45/1/012023; Pichler T, 2012, WATER SCI TECH-W SUP, V12, P179, DOI 10.2166/ws.2012.126; Roy A, 2022, FOOD CHEM, V387, DOI 10.1016/j.foodchem.2022.132941; Saenz C, 2004, J ARID ENVIRON, V57, P275, DOI 10.1016/S0140-1963(03)00106-X; Saleem M, 2019, J IND ENG CHEM, V72, P281, DOI 10.1016/j.jiec.2018.12.029; Torres L.G., 2012, NAT RESOUR, V3, P35, DOI DOI 10.4236/NR.2012.32006; Xu HY, 2017, ENVIRON SCI POLLUT R, V24, P28132, DOI 10.1007/s11356-017-0340-4; Zhang JD, 2006, PROCESS BIOCHEM, V41, P730, DOI 10.1016/j.procbio.2005.08.016</t>
  </si>
  <si>
    <t>SEP</t>
  </si>
  <si>
    <t>10.3390/polym14183832</t>
  </si>
  <si>
    <t>4R8YO</t>
  </si>
  <si>
    <t>WOS:000857042400001</t>
  </si>
  <si>
    <t>Gaona, IMS; Moncada-Villa, E; Ortiz-Otalora, CA; Munevar, J; Vargas, CAP</t>
  </si>
  <si>
    <t>Gaona, I. M. Saavedra; Moncada-Villa, E.; Ortiz-Otalora, C. A.; Munevar, J.; Vargas, C. A. Parra</t>
  </si>
  <si>
    <t>Structural and magnetic properties of LaBa1-xSrxCuFeO5+d and YbBa1-xSrxCuFeO5+d (x=0, 0.25 and 0.5) ceramic systems</t>
  </si>
  <si>
    <t>MATERIALS CHARACTERIZATION</t>
  </si>
  <si>
    <t>Ceramics magnetic oxides; Antiferromagnetic; XRD; FTIR; SEM; AFM; VSM</t>
  </si>
  <si>
    <t>TRANSPORT-PROPERTIES; LNBACUFEO(5) LN; HEAT-CAPACITY; OXIDE; LABACUFEO5+DELTA; CATHODE; EXAFS; GD; HO</t>
  </si>
  <si>
    <t>We present a systematic study of structural and magnetic properties of LaBa1-xSrxCuFeO5+delta (La -x) and YbBa1-xSrxCuFeO5+delta (Yb-x) (x = 0.0, 0.25 and 0.5) ceramic compounds, synthesized with solid-state method. X-ray powder diffraction (XRD) technique indicates that La -x and Yb-x systems present single phases consistent with an orthorhombic symmetry (space group Immm (71)) and tetragonal symmetries (space group P4mm (99)), respectively, and a decreasing lattice parameter as the content of Sr increases. The results of infrared spectrums show the typical energy bands of a perovskite with a layered structure, and surface morphologic analysis evidenced the formation of polycrystalline material with diverse grain shape. The compositional characterization, obtained via the energy-dispersive X-ray spectroscopy technique, suggests that we achieve the desired material stoichiometry with the absence of impurities. Finally, vibrating sample magnetometry measurements evidenced an antiferromagnetic transition at a temperature around the 160 K only for x = 0, which is attributed to the dominant magnetic moments of rare earth ions.</t>
  </si>
  <si>
    <t>[Gaona, I. M. Saavedra; Moncada-Villa, E.; Vargas, C. A. Parra] Univ Pedag &amp; Tecnol Colombia, Grp Fis Mat GFM, Ave Cent Norte 39-115 Tunja, Boyaca, Colombia; [Moncada-Villa, E.] Univ Pedag &amp; Tecnol Colombia, Grp Fis Teor &amp; Computac GFTC, Ave Cent Norte 39-115 Tunja, Boyaca, Colombia; [Ortiz-Otalora, C. A.] Univ Pedag &amp; Tecnol Colombia, Grp Superf Electroquim &amp; Corros GSEC, Ave Cent Norte 39-115 Tunja, Boyaca, Colombia; [Munevar, J.] Univ Fed ABC UFABC, Ctr Ciencias Nat &amp; Humanas CCNH, BR-09210580 Santo Andre, SP, Brazil</t>
  </si>
  <si>
    <t>Gaona, IMS (corresponding author), Univ Pedag &amp; Tecnol Colombia, Grp Fis Mat GFM, Ave Cent Norte 39-115 Tunja, Boyaca, Colombia.</t>
  </si>
  <si>
    <t>indry.saavedra@uptc.edu.co</t>
  </si>
  <si>
    <t>Saavedra Gaona, Indry Milena/0000-0002-8354-1886; Parra Vargas, Carlos Arturo/0000-0001-8582-3337</t>
  </si>
  <si>
    <t>Universidad Pedagogica y Tecnologica de Colombia</t>
  </si>
  <si>
    <t>Authors acknowledges financial support from research direction of Universidad Pedagogica y Tecnologica de Colombia.</t>
  </si>
  <si>
    <t>Chizhova EA, 2005, RUSS J APPL CHEM+, V78, P702, DOI 10.1007/s11167-005-0375-z; Dey D, 2017, Arxiv; Gaona IMS, 2021, CERAM INT, V47, P9984, DOI 10.1016/j.ceramint.2020.12.144; Gomes JA, 2006, J MAGN MAGN MATER, V300, pE213, DOI 10.1016/j.jmmm.2005.10.083; Gubkin AF, 2013, J PHYS-CONDENS MAT, V25, DOI 10.1088/0953-8984/25/23/236003; Kimura T, 2008, NAT MATER, V7, P291, DOI 10.1038/nmat2125; Klyndyuk A., 2011, CHEMINFORM, V42; Klyndyuk AI, 2008, PHYS SOLID STATE+, V50, P603, DOI 10.1134/S1063783408040021; Klyndyuk AI, 2007, INORG MATER+, V43, P866, DOI 10.1134/S0020168507080092; Klyndyuk A.l., 2008, VESTSI AKADEHMII NAV, V1, P5; Kundys B, 2009, APPL PHYS LETT, V94, DOI 10.1063/1.3086309; Lai YC, 2017, J PHYS-CONDENS MAT, V29, DOI 10.1088/1361-648X/aa5708; Lal S, 2020, J MAGN MAGN MATER, V498, DOI 10.1016/j.jmmm.2019.166124; Lal S, 2019, J APPL PHYS, V126, DOI 10.1063/1.5096611; Lal S, 2019, PHYSICA B, V570, P35, DOI 10.1016/j.physb.2019.05.051; Lal S, 2018, SOLID STATE COMMUN, V270, P130, DOI 10.1016/j.ssc.2017.12.007; Lal S, 2017, EPL-EUROPHYS LETT, V117, DOI 10.1209/0295-5075/117/67006; LIGHTFOOT P, 1990, J SOLID STATE CHEM, V89, P385, DOI 10.1016/0022-4596(90)90281-2; Mombru AW, 2001, PHYSICA C, V356, P149, DOI 10.1016/S0921-4534(01)00148-4; MOMBRU AW, 1994, INORG CHEM, V33, P1255, DOI 10.1021/ic00085a008; Morin M, 2015, PHYS REV B, V91, DOI 10.1103/PhysRevB.91.064408; Morin M, 2016, NAT COMMUN, V7, DOI 10.1038/ncomms13758; Pardo H, 1999, PHYSICA C, V313, P105, DOI 10.1016/S0921-4534(98)00668-6; Routray K.L., 2015, STUDY STRUCTURAL ELE; Gaona IMS, 2022, MATER SCI ENG B-ADV, V280, DOI 10.1016/j.mseb.2022.115719; Sedky A, 2020, J SUPERCOND NOV MAGN, V33, P3705, DOI 10.1007/s10948-020-05651-7; Suescun L, 2005, PHYS REV B, V71, DOI 10.1103/PhysRevB.71.144405; Wang Y, 2011, ACTA MATER, V59, P4229, DOI 10.1016/j.actamat.2011.03.047; Zeng CC, 2015, J AM CERAM SOC, V98, P3179, DOI 10.1111/jace.13728; Zhang XD, 2022, J MAGN MAGN MATER, V551, DOI 10.1016/j.jmmm.2022.169165; Zhang XD, 2021, ACTA MATER, V206, DOI 10.1016/j.actamat.2020.116608; Zhou QJ, 2012, CERAM INT, V38, P1529, DOI 10.1016/j.ceramint.2011.09.037; Zhou QJ, 2009, ELECTROCHEM COMMUN, V11, P80, DOI 10.1016/j.elecom.2008.10.035</t>
  </si>
  <si>
    <t>ELSEVIER SCIENCE INC</t>
  </si>
  <si>
    <t>STE 800, 230 PARK AVE, NEW YORK, NY 10169 USA</t>
  </si>
  <si>
    <t>1044-5803</t>
  </si>
  <si>
    <t>1873-4189</t>
  </si>
  <si>
    <t>MATER CHARACT</t>
  </si>
  <si>
    <t>Mater. Charact.</t>
  </si>
  <si>
    <t>10.1016/j.matchar.2022.112079</t>
  </si>
  <si>
    <t>JUL 2022</t>
  </si>
  <si>
    <t>Materials Science, Multidisciplinary; Metallurgy &amp; Metallurgical Engineering; Materials Science, Characterization &amp; Testing</t>
  </si>
  <si>
    <t>Materials Science; Metallurgy &amp; Metallurgical Engineering</t>
  </si>
  <si>
    <t>3F0RL</t>
  </si>
  <si>
    <t>WOS:000830381300002</t>
  </si>
  <si>
    <t>Castellanos, G; Valbuena, DS; Perez, E; Villegas, VE; Rondon-Lagos, M</t>
  </si>
  <si>
    <t>Castellanos, Giovanny; Sebastian Valbuena, Duvan; Perez, Erika; Villegas, Victoria E.; Rondon-Lagos, Milena</t>
  </si>
  <si>
    <t>Chromosomal Instability as Enabling Feature and Central Hallmark of Breast Cancer</t>
  </si>
  <si>
    <t>BREAST CANCER-TARGETS AND THERAPY</t>
  </si>
  <si>
    <t>breast cancer; genomic instability; chromosomal instability; clonal heterogeneity; resistance to therapy; therapeutic targets</t>
  </si>
  <si>
    <t>DOUBLE-STRAND BREAKS; PHASE-II TRIAL; GENOMIC INSTABILITY; 1ST-LINE TREATMENT; DNA-DAMAGE; CENP-F; CYCLOOXYGENASE-2 EXPRESSION; CENTROSOME AMPLIFICATION; PROGNOSTIC-SIGNIFICANCE; CLINICAL-IMPLICATIONS</t>
  </si>
  <si>
    <t>Chromosomal instability (CIN) has become a topic of great interest in recent years, not only for its implications in cancer diagnosis and prognosis but also for its role as an enabling feature and central hallmark of cancer. CIN describes cell-to-cell variation in the number or structure of chromosomes in a tumor population. Although extensive research in recent decades has identified some associations between CIN with response to therapy, specific associations with other hallmarks of cancer have not been fully evidenced. Such associations place CIN as an enabling feature of the other hallmarks of cancer and highlight the importance of deepening its knowledge to improve the outcome in cancer. In addition, studies conducted to date have shown paradoxical findings about the implications of CIN for therapeutic response, with some studies showing associations between high CIN and better therapeutic response, and others showing the opposite: associations between high CIN and therapeutic resistance. This evidences the complex relationships between CIN with the prognosis and response to treatment in cancer. Considering the above, this review focuses on recent studies on the role of CIN in cancer, the cellular mechanisms leading to CIN, its relationship with other hallmarks of cancer, and the emerging therapeutic approaches that are being developed to target such instability, with a primary focus on breast cancer. Further understanding of the complexity of CIN and its association with other hallmarks of cancer could provide a better understanding of the cellular and molecular mechanisms involved in prognosis and response to treatment in cancer and potentially lead to new drug targets.</t>
  </si>
  <si>
    <t>[Castellanos, Giovanny] Univ Pedag &amp; Tecnol Colombia, Maestria Ciencias Biol, Tunja, Colombia; [Castellanos, Giovanny; Sebastian Valbuena, Duvan; Perez, Erika; Rondon-Lagos, Milena] Univ Pedag &amp; Tecnol Colombia, Sch Biol Sci, Tunja, Colombia; [Villegas, Victoria E.] Univ Rosario, Fac Ciencias Nat, Ctr Invest Microbiol &amp; Biotecnol UR CIMBIUR, Bogota, Colombia</t>
  </si>
  <si>
    <t>Universidad Pedagogica y Tecnologica de Colombia (UPTC); Universidad Pedagogica y Tecnologica de Colombia (UPTC); Universidad del Rosario</t>
  </si>
  <si>
    <t>Rondon-Lagos, M (corresponding author), Univ Pedag &amp; Tecnol Colombia, Sch Biol Sci, Tunja, Colombia.</t>
  </si>
  <si>
    <t>sandra.rondon01@uptc.edu.co</t>
  </si>
  <si>
    <t>Rondon Lagos, Milena/0000-0002-3160-9316</t>
  </si>
  <si>
    <t>Ministerio de Ciencia, Tecnologia e Innovacion; Universidad Pedagogica y Tecnologica de Colombia</t>
  </si>
  <si>
    <t>This research was funded by the Ministerio de Ciencia, Tecnologia e Innovacion 874 call and by the Universidad Pedagogica y Tecnologica de Colombia</t>
  </si>
  <si>
    <t>Andriani GA, 2016, SCI REP-UK, V6, DOI 10.1038/srep35218; Aoki K, 2003, NAT GENET, V35, P323, DOI 10.1038/ng1265; Bailey SM, 2004, DNA REPAIR, V3, P349, DOI 10.1016/j.dnarep.2003.11.007; Bakhoum SF, 2018, CELL, V174, P1347, DOI 10.1016/j.cell.2018.08.027; Bakhoum SF, 2018, NATURE, V553, P467, DOI 10.1038/nature25432; Bakhoum SF, 2017, CSH PERSPECT MED, V7, DOI 10.1101/cshperspect.a029611; Bakhoum SF, 2015, NAT COMMUN, V6, DOI 10.1038/ncomms6990; Bakhoum SF, 2012, J CLIN INVEST, V122, P1138, DOI 10.1172/JCI59954; Baselga J, 2005, J CLIN ONCOL, V23, P2162, DOI 10.1200/JCO.2005.01.014; Benderra Z, 2004, CLIN CANCER RES, V10, P7896, DOI 10.1158/1078-0432.CCR-04-0795; Biebl MM, 2019, CSH PERSPECT BIOL, V11, DOI 10.1101/cshperspect.a034017; Birkbak NJ, 2011, CANCER RES, V71, P3447, DOI 10.1158/0008-5472.CAN-10-3667; Bisoffi M, 2006, INT J CANCER, V119, P2255, DOI 10.1002/ijc.22120; Boland GP, 2004, BRIT J CANCER, V90, P423, DOI 10.1038/sj.bjc.6601534; Borresen-Dale AL, 2003, HUM MUTAT, V21, P292, DOI 10.1002/humu.10174; Bouchet BP, 2007, BRIT J CANCER, V97, P1218, DOI 10.1038/sj.bjc.6603936; Burrell RA, 2010, J CELL BIOCHEM, V111, P782, DOI 10.1002/jcb.22781; Cahill D, 2006, FRONT BIOSCI-LANDMRK, V11, P1958, DOI 10.2741/1938; Campisi J, 2001, EXP GERONTOL, V36, P1619, DOI 10.1016/S0531-5565(01)00160-7; Carroll PE, 1999, ONCOGENE, V18, P1935, DOI 10.1038/sj.onc.1202515; Carter SL, 2006, NAT GENET, V38, P1043, DOI 10.1038/ng1861; Chalmers ZR, 2017, GENOME MED, V9, DOI 10.1186/s13073-017-0424-2; Chan GKT, 1998, J CELL BIOL, V143, P49, DOI 10.1083/jcb.143.1.49; Chandrakasan S, 2011, PEDIATR BLOOD CANCER, V56, P1143, DOI 10.1002/pbc.22929; Chatterjee N, 2017, ENVIRON MOL MUTAGEN, V58, P235, DOI 10.1002/em.22087; Chu E, 2014, ONCOLOGY-NY, V28, P726; Cimini D, 1999, MUTAGENESIS, V14, P563, DOI 10.1093/mutage/14.6.563; Clancy S, 2015, NATURE ED, V1, P103; Colotta F, 2009, CARCINOGENESIS, V30, P1073, DOI 10.1093/carcin/bgp127; Crasta K, 2012, NATURE, V482, P53, DOI 10.1038/nature10802; Daley James M., 2013, Yale Journal of Biology and Medicine, V86, P453; Dang CV, 2009, CLIN CANCER RES, V15, P6479, DOI 10.1158/1078-0432.CCR-09-0889; Daniel J, 2011, P NATL ACAD SCI USA, V108, P5384, DOI 10.1073/pnas.1007645108; Davies MA, 2010, ONCOGENE, V29, P5545, DOI 10.1038/onc.2010.323; Dayal JHS, 2013, BRIT J CANCER, V108, P873, DOI 10.1038/bjc.2013.42; Dayal JHS, 2015, CONVERG SCI PHYS ONC, V1, DOI 10.1088/2057-1739/1/2/025001; de Ruijter TC, 2011, J CANCER RES CLIN, V137, P183, DOI 10.1007/s00432-010-0957-x; Dejure FR, 2017, EMBO J, V36, P3409, DOI 10.15252/embj.201796438; Di Leo A, 2008, J CLIN ONCOL, V26, P5544, DOI 10.1200/JCO.2008.16.2578; Diestra JE, 2002, J PATHOL, V198, P213, DOI 10.1002/path.1203; Dobles M, 2000, CELL, V101, P635, DOI 10.1016/S0092-8674(00)80875-2; Dou ZX, 2017, NATURE, V550, P402, DOI 10.1038/nature24050; Duijf PHG, 2019, TRENDS MOL MED, V25, P595, DOI 10.1016/j.molmed.2019.04.004; Ellsworth RE, 2008, BMC CANCER, V8, DOI 10.1186/1471-2407-8-297; Endesfelder D, 2014, CANCER RES, V74, P4853, DOI 10.1158/0008-5472.CAN-13-2664; Eyfjord JE, 1995, CANCER RES, V1, P458; Filippo JS, 2008, ANNU REV BIOCHEM, V77, P229, DOI 10.1146/annurev.biochem.77.061306.125255; Focke CM, 2016, BREAST CANCER RES TR, V159, P257, DOI 10.1007/s10549-016-3950-5; Fukasawa K, 1996, SCIENCE, V271, P1744, DOI 10.1126/science.271.5256.1744; Funk LC, 2016, DEV CELL, V39, P638, DOI 10.1016/j.devcel.2016.10.023; Gadgil R, 2017, BIOPHYS CHEM, V225, P38, DOI 10.1016/j.bpc.2016.11.007; Gagos S, 2005, INT J BIOCHEM CELL B, V37, P1014, DOI 10.1016/j.biocel.2005.01.003; Gandhi J, 2017, FRONT MICROBIOL, V8, DOI 10.3389/fmicb.2017.00538; Ganem NJ, 2009, NATURE, V460, P278, DOI 10.1038/nature08136; Gasparini G, 2007, BREAST CANCER RES TR, V101, P355, DOI 10.1007/s10549-006-9306-9; Giam M, 2015, CELL DIV, V10, DOI 10.1186/s13008-015-0009-7; Goldhirsch A, 2013, ANN ONCOL, V24, P2206, DOI 10.1093/annonc/mdt303; Gomez HL, 2008, J CLIN ONCOL, V26, P2999, DOI 10.1200/JCO.2007.14.0590; Gong Y, 2021, CELL METAB, V33, P51, DOI 10.1016/j.cmet.2020.10.012; Gregan J, 2011, TRENDS CELL BIOL, V21, P374, DOI 10.1016/j.tcb.2011.01.003; Gretarsdottir S, 1998, CANCER RES, V58, P859; Griffith JD, 1999, CELL, V97, P503, DOI 10.1016/S0092-8674(00)80760-6; Gripp KW, 1999, AM J MED GENET, V82, P170, DOI 10.1002/(SICI)1096-8628(19990115)82:2&lt;170::AID-AJMG14&gt;3.0.CO;2-X; Hanahan D, 2000, CELL, V100, P57, DOI 10.1016/S0092-8674(00)81683-9; Hanahan D, 2022, CANCER DISCOV, V12, P31, DOI 10.1158/2159-8290.CD-21-1059; Hanahan D, 2011, CELL, V144, P646, DOI 10.1016/j.cell.2011.02.013; Hanel W, 2012, J CELL BIOCHEM, V113, P433, DOI 10.1002/jcb.23400; Harbeck N, 2019, NAT REV DIS PRIMERS, V5, DOI [10.1038/s41572-019-0111-2, 10.1038/s41572-019-0122-z]; Harrell JC, 2012, BREAST CANCER RES TR, V132, P523, DOI 10.1007/s10549-011-1619-7; Hatch EM, 2013, CELL, V154, P47, DOI 10.1016/j.cell.2013.06.007; Hayes DF, 2007, NEW ENGL J MED, V357, P1496, DOI 10.1056/NEJMoa071167; Heaphy CM, 2007, CLIN CANCER RES, V13, P7037, DOI 10.1158/1078-0432.CCR-07-0432; Heaphy CM, 2011, MODERN PATHOL, V24, P194, DOI 10.1038/modpathol.2010.198; Heijink AM, 2019, NAT COMMUN, V10, DOI 10.1038/s41467-018-07927-y; Heng HH, 2013, CANCER METAST REV, V32, P325, DOI 10.1007/s10555-013-9427-7; Howard TD, 1997, NAT GENET, V15, P36, DOI 10.1038/ng0197-36; Howe LR, 2007, BREAST CANCER RES, V9, DOI 10.1186/bcr1678; Huang RX, 2020, SIGNAL TRANSDUCT TAR, V5, DOI 10.1038/s41392-020-0150-x; Huang Y, 2019, CELL DEATH DIS, V10, DOI 10.1038/s41419-019-1662-6; Ippolito MR, 2021, DEV CELL, V56, P2440, DOI 10.1016/j.devcel.2021.07.006; Ippolito MR, 2020, BIORXIV, V9, DOI [10.1101/2020.09.25.313924, DOI 10.1101/2020.09.25.313924]; ISOLA JJ, 1995, AM J PATHOL, V147, P905; Iyevleva AG, 2022, BREAST CANCER RES TR, V192, P283, DOI 10.1007/s10549-022-06517-3; Jablonski SA, 1998, CHROMOSOMA, V107, P386, DOI 10.1007/s004120050322; Jamal-Hanjani M, 2015, ANN ONCOL, V26, P1340, DOI 10.1093/annonc/mdv178; Janssen A, 2011, SCIENCE, V333, P1895, DOI 10.1126/science.1210214; Ji XW, 2019, BIOMED PHARMACOTHER, V114, DOI 10.1016/j.biopha.2019.108800; Jiang BH, 2009, ADV CANCER RES, V102, P19, DOI 10.1016/S0065-230X(09)02002-8; Jones RG, 2009, GENE DEV, V23, P537, DOI 10.1101/gad.1756509; Kasparek TR, 2011, SEMIN CELL DEV BIOL, V22, P886, DOI 10.1016/j.semcdb.2011.10.007; Kastenhuber ER, 2017, CELL, V170, P1062, DOI 10.1016/j.cell.2017.08.028; Ke YW, 2011, EMBO J, V30, P3309, DOI 10.1038/emboj.2011.226; Khong HT, 2002, NAT IMMUNOL, V3, P999, DOI 10.1038/ni1102-999; Kim C, 2018, CELL, V173, P879, DOI 10.1016/j.cell.2018.03.041; Koboldt DC, 2012, NATURE, V490, P61, DOI 10.1038/nature11412; Kotsopoulos J, 2018, CANCERS, V10, DOI 10.3390/cancers10120524; Koundouros N, 2020, BRIT J CANCER, V122, P4, DOI 10.1038/s41416-019-0650-z; Kronenwett U, 2006, CANCER EPIDEM BIOMAR, V15, P1630, DOI 10.1158/1055-9965.EPI-06-0080; Kuchenbaecker KB, 2017, JAMA-J AM MED ASSOC, V317, P2402, DOI 10.1001/jama.2017.7112; Kurabayashi R, 2008, HUM PATHOL, V39, P1647, DOI 10.1016/j.humpath.2008.04.005; Kwei KA, 2010, MOL ONCOL, V4, P255, DOI 10.1016/j.molonc.2010.04.001; Kwok WK, 2005, CANCER RES, V65, P5153, DOI 10.1158/0008-5472.CAN-04-3785; Lara-Gonzalez P, 2012, CURR BIOL, V22, pR966, DOI 10.1016/j.cub.2012.10.006; Le XF, 2005, J BIOL CHEM, V280, P2092, DOI 10.1074/jbc.M403080200; Lee AJX, 2011, CANCER RES, V71, P1858, DOI 10.1158/0008-5472.CAN-10-3604; Lee HS, 2016, CANCER RES, V76, P902, DOI 10.1158/0008-5472.CAN-15-1617; Lengauer C, 1998, NATURE, V396, P643, DOI 10.1038/25292; Lewis CW, 2016, CELL CYCLE, V15, P3131, DOI 10.1080/15384101.2016.1231287; LIAO H, 1995, J CELL BIOL, V130, P507, DOI 10.1083/jcb.130.3.507; Lo AWI, 2002, MOL CELL BIOL, V22, P4836, DOI 10.1128/MCB.22.13.4836-4850.2002; Lopez S, 2020, NAT GENET, V52, P283, DOI 10.1038/s41588-020-0584-7; Lukow DA, 2022, TRENDS CANCER, V8, P43, DOI 10.1016/j.trecan.2021.09.002; Lukow DA, 2021, DEV CELL, V56, P2427, DOI 10.1016/j.devcel.2021.07.009; Luque-Bolivar A, 2020, BREAST CANCER-TARGET, V12, P211, DOI 10.2147/BCTT.S270799; Mackenzie KJ, 2017, NATURE, V548, P461, DOI 10.1038/nature23449; Mantovani A, 2008, NATURE, V454, P436, DOI 10.1038/nature07205; Marteil G, 2018, NAT COMMUN, V9, DOI 10.1038/s41467-018-03641-x; Martincorena I, 2015, SCIENCE, V349, P1483, DOI 10.1126/science.aab4082; Martinez C, 2010, CELL CYCLE, V9, P2275, DOI 10.4161/cc.9.12.11865; Marty M, 2005, J CLIN ONCOL, V23, P4265, DOI 10.1200/JCO.2005.04.173; McGranahan N, 2017, CELL, V168, P613, DOI 10.1016/j.cell.2017.01.018; McGranahan N, 2015, CANCER CELL, V27, P15, DOI 10.1016/j.ccell.2014.12.001; McGranahan N, 2012, EMBO REP, V13, P528, DOI 10.1038/embor.2012.61; Mironchik Y, 2005, CANCER RES, V65, P10801, DOI 10.1158/0008-5472.CAN-05-0712; Montagna C, 2002, ONCOGENE, V21, P890, DOI 10.1038/sj.onc.1205146; Murnane JP, 2004, BIOESSAYS, V26, P1164, DOI 10.1002/bies.20125; Mustacchi G, 2015, DRUG DES DEV THER, V9, P4303, DOI 10.2147/DDDT.S86105; Nakamura H, 2003, CLIN CANCER RES, V9, P2294; Nielsen CF, 2015, NAT COMMUN, V6, DOI 10.1038/ncomms9962; NOWELL PC, 1976, SCIENCE, V194, P23, DOI 10.1126/science.959840; O'Brien SL, 2007, INT J CANCER, V120, P1434, DOI 10.1002/ijc.22413; Obe G, 2010, CYTOGENET GENOME RES, V128, P8, DOI 10.1159/000303328; Ogden A, 2017, SCI REP-UK, V7, DOI 10.1038/srep42289; Pack SD, 2004, CANCER RES, V64, P789, DOI 10.1158/0008-5472.CAN-03-1982; Pannu V, 2015, ONCOTARGET, V6, P10487, DOI 10.18632/oncotarget.3402; Pastink A, 2001, MUTAT RES-FUND MOL M, V480, P37, DOI 10.1016/S0027-5107(01)00167-1; Persson K, 1999, GENE CHROMOSOME CANC, V25, P115, DOI 10.1002/(SICI)1098-2264(199906)25:2&lt;115::AID-GCC7&gt;3.0.CO;2-2; Pikor L, 2013, CANCER METAST REV, V32, P341, DOI 10.1007/s10555-013-9429-5; Poonepalli A, 2008, GENE CHROMOSOME CANC, V47, P1098, DOI 10.1002/gcc.20608; Prat A, 2014, CLIN CANCER RES, V20, P511, DOI 10.1158/1078-0432.CCR-13-0239; Prat A, 2013, J CLIN ONCOL, V31, P203, DOI 10.1200/JCO.2012.43.4134; Qin Q, 2012, CELL RES, V22, P90, DOI 10.1038/cr.2011.144; Raab M, 2019, NEOPLASIA, V21, P363, DOI 10.1016/j.neo.2019.01.007; Radpour R, 2010, MODERN PATHOL, V23, P763, DOI 10.1038/modpathol.2009.195; Raptis S, 2006, EXP SUPPL, V96, P303; Reislander T, 2019, NAT COMMUN, V10, DOI 10.1038/s41467-019-11048-5; Rieckhoff J, 2020, CANCERS, V12, DOI 10.3390/cancers12102809; Ristimaki A, 2002, CANCER RES, V62, P632; Rogers S, 2018, ONCOGENE, V37, P4518, DOI 10.1038/s41388-018-0295-z; Romond EH, 2005, NEW ENGL J MED, V353, P1673, DOI 10.1056/NEJMoa052122; Rosivatz E, 2002, AM J PATHOL, V161, P1881, DOI 10.1016/S0002-9440(10)64464-1; Rouzier R, 2005, CLIN CANCER RES, V11, P5678, DOI 10.1158/1078-0432.CCR-04-2421; Rowald K, 2016, CELL REP, V15, P2679, DOI 10.1016/j.celrep.2016.05.048; Roylance R, 2011, CANCER EPIDEM BIOMAR, V20, P2183, DOI 10.1158/1055-9965.EPI-11-0343; Sabatier L, 2005, MOL CANCER RES, V3, P139, DOI 10.1158/1541-7786.MCR-04-0194; Salgueiro L, 2020, EMBO MOL MED, V12, DOI 10.15252/emmm.201910941; Sansregret L, 2018, NAT REV CLIN ONCOL, V15, P139, DOI 10.1038/nrclinonc.2017.198; Schatten H, 2018, HISTOCHEM CELL BIOL, V150, P303, DOI 10.1007/s00418-018-1698-1; Schneeweiss A, 2003, INT J CANCER, V107, P346, DOI 10.1002/ijc.11408; Schoffski P, 2009, ONCOLOGIST, V14, P559, DOI 10.1634/theoncologist.2009-0010; Scribano CM, 2021, SCI TRANSL MED, V13, DOI 10.1126/scitranslmed.abd4811; Semenza GL, 2010, CURR OPIN GENET DEV, V20, P51, DOI 10.1016/j.gde.2009.10.009; Shen ZY, 2011, J MOL CELL BIOL, V3, P1, DOI 10.1093/jmcb/mjq057; Sicchieri RD, 2015, TUMOR BIOL, V36, P9233, DOI 10.1007/s13277-015-3647-0; Sigurdsson S, 2000, CANCER GENET CYTOGEN, V121, P150, DOI 10.1016/S0165-4608(00)00260-0; Singh B, 2007, J SURG RES, V140, P220, DOI 10.1016/j.jss.2007.01.039; Slamon DJ, 2001, NEW ENGL J MED, V344, P783, DOI 10.1056/NEJM200103153441101; SLAMON DJ, 1987, SCIENCE, V235, P177, DOI 10.1126/science.3798106; Smid M, 2011, BREAST CANCER RES TR, V128, P23, DOI 10.1007/s10549-010-1026-5; Smith CA, 2000, CLIN CANCER RES, V6, P112; Sorlie T, 2003, P NATL ACAD SCI USA, V100, P8418, DOI 10.1073/pnas.0932692100; Stine ZE, 2015, CANCER DISCOV, V5, P1024, DOI 10.1158/2159-8290.CD-15-0507; Subbaramaiah K, 2002, J BIOL CHEM, V277, P18649, DOI 10.1074/jbc.M111415200; Sung H., 2021, CA-CANCER J CLIN, V71, P209, DOI [DOI 10.3322/caac.21660, 10.3322/caac.21660]; Swanton C, 2009, P NATL ACAD SCI USA, V106, P8671, DOI 10.1073/pnas.0811835106; Tanaka K, 2016, BBA-REV CANCER, V1866, P64, DOI 10.1016/j.bbcan.2016.06.002; Tang Y, 2016, CLIN BREAST CANCER, V16, P335, DOI 10.1016/j.clbc.2016.05.012; Thompson LL, 2017, CANCERS, V9, DOI 10.3390/cancers9110151; Thompson LH, 2001, MUTAT RES-FUND MOL M, V477, P131, DOI 10.1016/S0027-5107(01)00115-4; Thompson SL, 2008, J CELL BIOL, V180, P665, DOI 10.1083/jcb.200712029; Thompson SL, 2010, CURR BIOL, V20, pR285, DOI 10.1016/j.cub.2010.01.034; Thomson AB, 2002, EUR J CANCER, V38, P468, DOI 10.1016/S0959-8049(01)00335-5; Toft DJ, 2011, MOL ENDOCRINOL, V25, P199, DOI 10.1210/me.2010-0164; Torres EM, 2008, GENETICS, V179, P737, DOI 10.1534/genetics.108.090878; Tripathi R, 2019, ONCOIMMUNOLOGY, V8, DOI 10.1080/2162402X.2019.1657374; Turajlic S, 2016, SCIENCE, V352, P169, DOI 10.1126/science.aaf2784; Vargas-Rondon N, 2020, CANCER BIOL MED, V17, P970, DOI 10.20892/j.issn.2095-3941.2020.0028; Varol U, 2018, J BUON, V23, P862; Vesely MD, 2011, ANNU REV IMMUNOL, V29, P235, DOI 10.1146/annurev-immunol-031210-101324; Vesuna F, 2006, CANCER GENET CYTOGEN, V167, P189, DOI 10.1016/j.cancergencyto.2006.01.014; Vogel CL, 2002, J CLIN ONCOL, V20, P719, DOI 10.1200/JCO.2002.20.3.719; Vousden KH, 2002, NAT REV CANCER, V2, P594, DOI 10.1038/nrc864; Walther A, 2008, GUT, V57, P941, DOI 10.1136/gut.2007.135004; Wang X, 2006, ONCOGENE, V25, P7148, DOI 10.1038/sj.onc.1209707; Watkins TBK, 2020, NATURE, V587, P126, DOI 10.1038/s41586-020-2698-6; Weaver BAA, 2007, CANCER CELL, V11, P25, DOI 10.1016/j.ccr.2006.12.003; Williams BR, 2008, SCIENCE, V322, P703, DOI 10.1126/science.1160058; Xu ZR, 2021, ISCIENCE, V24, DOI 10.1016/j.isci.2021.102394; Yang J, 2004, CELL, V117, P927, DOI 10.1016/j.cell.2004.06.006; Yeow ZY, 2020, NATURE, V585, P447, DOI 10.1038/s41586-020-2690-1; Yuan TL, 2008, ONCOGENE, V27, P5497, DOI 10.1038/onc.2008.245; Zasadil LM, 2013, SEMIN CELL DEV BIOL, V24, P370, DOI 10.1016/j.semcdb.2013.02.001; Zhang CZ, 2015, NATURE, V522, P179, DOI 10.1038/nature14493; Zhivotovsky B, 2004, NAT REV MOL CELL BIO, V5, P752, DOI 10.1038/nrm1443; ZHU XL, 1995, MOL CELL BIOL, V15, P5017</t>
  </si>
  <si>
    <t>DOVE MEDICAL PRESS LTD</t>
  </si>
  <si>
    <t>ALBANY</t>
  </si>
  <si>
    <t>PO BOX 300-008, ALBANY, AUCKLAND 0752, NEW ZEALAND</t>
  </si>
  <si>
    <t>1179-1314</t>
  </si>
  <si>
    <t>BREAST CANCER-TARGET</t>
  </si>
  <si>
    <t>Breast Cancer-Targets Ther.</t>
  </si>
  <si>
    <t>10.2147/BCTT.S383759</t>
  </si>
  <si>
    <t>Oncology</t>
  </si>
  <si>
    <t>A0TV2</t>
  </si>
  <si>
    <t>WOS:000952350600001</t>
  </si>
  <si>
    <t>Galvis-Tarazona, DY; Ojeda-Perez, ZZ; Arias-Moreno, DM</t>
  </si>
  <si>
    <t>Yaneth Galvis-Tarazona, Daicy; Zarely Ojeda-Perez, Zaida; Marcela Arias-Moreno, Diana</t>
  </si>
  <si>
    <t>Cultural and ethnobotanical legacy of native potatoes in Colombia</t>
  </si>
  <si>
    <t>JOURNAL OF ETHNOBIOLOGY AND ETHNOMEDICINE</t>
  </si>
  <si>
    <t>Native potatoes; Conservation; Cultural importance; Ethnobotany; Traditional knowledge</t>
  </si>
  <si>
    <t>WILD PLANTS; DIVERSITY; CANCER; REGION</t>
  </si>
  <si>
    <t>Background Native potatoes are Andean tubers of great historical, social, food, genetic and nutritional importance, and they contribute significantly to food security by supplementing the household diet and also providing alternative income. Even when their cultivation and consumption imply great benefits, their use and local preservation depend to a large extent on the recognition of their ethnobotanical and cultural importance. In this context, this study consolidates an important ethnobotanical research bases for native potatoes in Colombia. Methods The study collected data through semi-structured interviews and dialogues (130) in the municipality of Chiscas, department of Boyaca, central-eastern Colombia. The questionnaire was focused on native potatoes and sought to investigate the knowledge related to cultivation, diversity, patterns and forms of preparation for use and consumption. Likewise, knowledge heritability mechanisms were investigated and ethnobotanical indices of relative importance, use and culture were estimated. Results Documentation of ethnobotanical knowledge included aspects such as seed care and availability, cultural management of the crop, patterns of use and consumption, as well as ways of preparing the tubers. In total, 23 vernacular names of native potato and 360 reports of use (commercial, domestic or ritual-magical) were recorded for the 15 main genotypes. Quantitative estimates included the importance index: (a) cultural, for which values ranged between 0.059 and 0.812; (b) relative, with records between 0.04 and 0.43; and (c) use, which ranged between 0.06 and 0.63. The ethnobotanical importance index (d) for native potatoes was 57.26, which corresponds to a very high ethnobotanical value. This allowed us to identify that Criollas were the most recognized and used potatoes within the community. In addition, it was shown that vertical transmission is the main way in which traditional knowledge about native potatoes is inherited. Finally, an artificial intelligence tool was preliminarily implemented to identify the polarity generated in the interviewees by the questions. Conclusion The results of this research provide valuable information on the ethnobotany of native potatoes in Colombia. The genotypes used by the community of the municipality of Chiscas were recognized for their high gastronomic and nutritional potential, as well as for their great ethnobotanical and cultural importance. These data can be considered as a valuable tool to support any action aimed at the conservation and revaluation of these tubers.</t>
  </si>
  <si>
    <t>[Yaneth Galvis-Tarazona, Daicy; Zarely Ojeda-Perez, Zaida; Marcela Arias-Moreno, Diana] Univ Pedag &amp; Tecnol Colombia UPTC, Fac Ciencias, Grp Invest BIOPLASMA, Ave Cent Norte, Tunja 050030, Boyaca, Colombia</t>
  </si>
  <si>
    <t>Arias-Moreno, DM (corresponding author), Univ Pedag &amp; Tecnol Colombia UPTC, Fac Ciencias, Grp Invest BIOPLASMA, Ave Cent Norte, Tunja 050030, Boyaca, Colombia.</t>
  </si>
  <si>
    <t>diana.arias04@uptc.edu.co</t>
  </si>
  <si>
    <t>Arias Moreno, Diana Marcela/B-1011-2015</t>
  </si>
  <si>
    <t>Arias Moreno, Diana Marcela/0000-0001-6171-0549; Galvis, Daicy/0000-0002-2251-0015</t>
  </si>
  <si>
    <t>Ministry of Science, Technology, and Innovation of Colombia; Government of Boyaca; Universidad Pedagogica y Tecnologica de Colombia (UPTC); Mayor's Office of the municipality of Chiscas; company Tesoros Nativos SAS</t>
  </si>
  <si>
    <t>The authors would like to thank the Ministry of Science, Technology, and Innovation of Colombia, the Government of Boyaca, the Universidad Pedagogica y Tecnologica de Colombia (UPTC), the Mayor's Office of the municipality of Chiscas, and the company Tesoros Nativos SAS, for financing the project entitled Implementation of biotechnological and agricultural processes for the cultivation of clean species of ancestral varieties of potato (Solanum sp.) from the agro-ecosystems of the department. Convocation 794 of 2017 I+D projects for the technological development of a biological origin in the Department of Boyaca. Likewise, the authors would like to thank the community of Chiscas, Boyaca for their contributions and active and objective participation during the field work. Additionally, the authors would like to thank Johan Sebastian Urquijo Ruiz for the data analysis and BIOPLASMA-UPTC research group. Finally, the authors thank to the company Quaxam Datalab Colombia, for the data analysis and to researcher Sergio Ochatt for the grammatical adjustment of the English language.</t>
  </si>
  <si>
    <t>Alcaldia Municipal de Chiscas, 2016, PLAN DES MUN 2016 20; Balick MJ, 2021, PLANTS PEOPLE CULTUR, V2nd; BRUSH SB, 1992, HUM ECOL, V20, P145, DOI 10.1007/BF00889077; Bussa NF, 2019, S AFR J BOT, V122, P360, DOI 10.1016/j.sajb.2019.03.025; Calliope S, 2020, PHYSICOCHEMICAL FUNC; Cima FF, 2020, HORTIC BRAS, V38, P139, DOI [10.1590/S0102-053620200205, 10.1590/s0102-053620200205]; Clarke PA, 2015, T ROY SOC SOUTH AUST, V139, P247, DOI 10.1080/03721426.2015.1074339; Core Team R., 2013, R LANG ENV STAT COMP; De la Cruz G, 2020, AM J POTATO RES, V97, P143, DOI 10.1007/s12230-020-09763-7; Departamento Administrativo Nacional de Estadisticas-DANE, 2018, CENS NAC POBL VIV; Fajardo-Escoffie JL, 2022, FOOD FOODWAYS, V30, P165, DOI 10.1080/07409710.2022.2089826; Faruque MO, 2018, FRONT PHARMACOL, V9, DOI 10.3389/fphar.2018.00040; Fogelman E, 2019, NUTR VALUE POTATO SO; Gómez García Erika, 2016, Rev. Mex. Cienc. Agríc, V7, P2683; Goncalves dos Santos E, 2019, REV BRAS GESTAO AMBI, V6, P365; Gonzalez L, 2017, REV LATINOAM PAPA, V21, P121; Guzman Vasquez J, 2016, CARACTERIZACION FENO; Hardigan MA, 2017, P NATL ACAD SCI USA, V114, pE9999, DOI 10.1073/pnas.1714380114; Harvard Humanitarian Initiative, 2016, KOBOCOLLECT; Ibrahim MSE., 2016, RES J MED PLANTS, V10, P1; JACKSON MT, 1980, EUPHYTICA, V29, P107, DOI 10.1007/BF00037254; Kochhar SL, 2016, ECON BOT; Lajones-Bone D., 1999, CR NICA MEDIO AMBIEN, V14, P15; Luttringhaus S, 2021, CABI AGR BIOSCI, V2, DOI 10.1186/s43170-021-00065-4; Magaldi D., 2020, ENCY PERSONALITY IND, P4825; Gutarra DM, 2018, SCI AGROPEC, V9, P393, DOI 10.17268/sci.agropecu.2018.03.10; Martinez P, 2019, FOOD CHEM X, V2, DOI 10.1016/j.fochx.2019.100030; Monteros C, 2011, PAPAS NATIVAS SIERRA; Ojeda-Perez ZZ, 2021, COLORES SABORES MI T; Ortiz O, 2017, COMPEND PL GENOME, P1, DOI 10.1007/978-3-319-66135-3_1; Paiva de Lucena R, 2017, FLOVET, V1, P158; Piippo J, 2016, J MENT HEALTH TRAIN, V11, P269, DOI 10.1108/JMHTEP-04-2016-0023; PRANCE G T, 1987, Conservation Biology, V1, P296, DOI 10.1111/j.1523-1739.1987.tb00050.x; Quaxam Datalab, 2020, ANALISIS MEDIANTE NL, P7; Quicano-Bellido E, 2017, EVALUACION RESISTENC; Ranfa A, 2017, J APPL BOT FOOD QUAL, V90, P246, DOI 10.5073/JABFQ.2017.090.031; Rangel E., 2019, RODRIGUESIA, V70, P10, DOI [10.1590/2175-7860201970019, DOI 10.1590/2175-7860201970019]; Reimers EAL, 2018, ACTA SOC BOT POL, V87, DOI 10.5586/asbp.3581; Reyes-Garcia V, 2006, ECON BOT, V60, P62, DOI 10.1663/0013-0001(2006)60[62:CPAEVO]2.0.CO;2; Rodrigues E, 2020, J ETHNOBIOL ETHNOMED, V16, DOI 10.1186/s13002-019-0352-x; Rodríguez Luis Ernesto, 2010, Agron. colomb., V28, P9; Rojas Mercado Luz P, 2014, Scientia Agropecuaria, V5, P165, DOI 10.17268/sci.agropecu.2014.04.01; Romero L, 2005, B ANTROPOLOGICO, V23; Alpala MGR, 2020, REV PERUANA BIOL, V27, P509, DOI 10.15381/rpb.v27i4.18020; Cunya JFS, 2017, SCI AGROPEC, V8, P181, DOI 10.17268/sci.agropecu.2017.03.01; Sharma UK, 2011, J ETHNOBIOL ETHNOMED, V7, DOI 10.1186/1746-4269-7-16; Sood S, 2017, COMPEND PL GENOME, P31, DOI 10.1007/978-3-319-66135-3_3; Suwardi A.B., 2020, BIODIVERSITAS, V21, P1850, DOI [DOI 10.13057/biodiv/d210511, 10.13057/biodiv/d210511]; Tardio J, 2008, ECON BOT, V62, P24, DOI 10.1007/s12231-007-9004-5; Ticsihua-Huaman J, 2022, P 7 BRAZILIAN TECHNO, P554; Tinjaca S., 2015, CATALOGO PAPAS NATIV; Vanamala JKP, 2019, AM J POTATO RES, V96, P177, DOI 10.1007/s12230-018-09700-9; Whitney C, 2021, ETHNOBOTANYR CALCULE; Whitney CW, 2018, ETHNOBIOL LETT, V9, P90, DOI 10.14237/ebl.9.2.2018.503</t>
  </si>
  <si>
    <t>BMC</t>
  </si>
  <si>
    <t>LONDON</t>
  </si>
  <si>
    <t>CAMPUS, 4 CRINAN ST, LONDON N1 9XW, ENGLAND</t>
  </si>
  <si>
    <t>1746-4269</t>
  </si>
  <si>
    <t>J ETHNOBIOL ETHNOMED</t>
  </si>
  <si>
    <t>J. Ethnobiol. Ethnomed.</t>
  </si>
  <si>
    <t>SEP 19</t>
  </si>
  <si>
    <t>10.1186/s13002-022-00557-1</t>
  </si>
  <si>
    <t>Biodiversity Conservation; Plant Sciences; Pharmacology &amp; Pharmacy</t>
  </si>
  <si>
    <t>Biodiversity &amp; Conservation; Plant Sciences; Pharmacology &amp; Pharmacy</t>
  </si>
  <si>
    <t>4P6TU</t>
  </si>
  <si>
    <t>WOS:000855526900001</t>
  </si>
  <si>
    <t>Blanco-Mesa, F; Vinchira, O; Cuy, Y</t>
  </si>
  <si>
    <t>Blanco-Mesa, Fabio; Vinchira, Omar; Cuy, Yesica</t>
  </si>
  <si>
    <t>Forgotten Factors in Knowledge Conversion and Routines: A Fuzzy Analysis of Employee Knowledge Management in Exporting Companies in Boyaca</t>
  </si>
  <si>
    <t>MATHEMATICS</t>
  </si>
  <si>
    <t>forgotten effects; knowledge; knowledge management; knowledge conversion; human talent; routines</t>
  </si>
  <si>
    <t>TACIT KNOWLEDGE; CAPABILITIES</t>
  </si>
  <si>
    <t>The department of Boyaca accounts for only 0.93% of national exports, which means that the participation of exporting companies in the region is low. One of the most important factors within these organizations is the knowledge of the collaborators, since it is an asset that contributes to the daily activities carried out within an organization. Hence, the objective of this research was to analyze the incidence of the forgotten factors in knowledge management through the conversion of knowledge and the routines of the personnel in Boyaca's exporting companies, by means of causal analysis using fuzzy methodologies. The participants are exporting activity collaborators in the companies, who were consulted as sources of information for the Boyaca chamber of commerce. For the treatment, the forgotten effects theory, the experton method, and the adequacy coefficient are used. The information collected is processed using FuzzyLog software. The findings highlight that there are forgotten factors between the knowledge conversion and routines related to informal communication and social interactions. It is worth noting that it is important to carry out a more in-depth analysis of each of the individual knowledge spiral pillars in exporting companies in different regions of the country, focusing on social interactions (linguistic expression) and informal communication (electronic meetings).</t>
  </si>
  <si>
    <t>[Blanco-Mesa, Fabio; Vinchira, Omar; Cuy, Yesica] Univ Pedag &amp; Tecnol Colombia, Escuela Adm Empresas, Fac Ciencias Econ &amp; Adm, Tunja 150003, Colombia</t>
  </si>
  <si>
    <t>Blanco-Mesa, F (corresponding author), Univ Pedag &amp; Tecnol Colombia, Escuela Adm Empresas, Fac Ciencias Econ &amp; Adm, Tunja 150003, Colombia.</t>
  </si>
  <si>
    <t>fabio.blanco01@uptc.edu.co</t>
  </si>
  <si>
    <t>Blanco-Mesa, Fabio/K-7225-2012</t>
  </si>
  <si>
    <t>Blanco-Mesa, Fabio/0000-0002-9462-6498</t>
  </si>
  <si>
    <t>Universidad Pedagogica y Tecnologica de Colombia [SGI 3323]; Red Sistemas Inteligentes y Expertos Modelos Computacionales Iberoamericanos (SIEMCI) [522RT0130]; Programa Iberoamericano de Ciencia y Tecnologia para el Desarrollo (CYTED)</t>
  </si>
  <si>
    <t>Universidad Pedagogica y Tecnologica de Colombia; Red Sistemas Inteligentes y Expertos Modelos Computacionales Iberoamericanos (SIEMCI); Programa Iberoamericano de Ciencia y Tecnologia para el Desarrollo (CYTED)</t>
  </si>
  <si>
    <t>This research was funded by Universidad Pedagogica y Tecnologica de Colombia, grant number SGI 3323, and Red Sistemas Inteligentes y Expertos Modelos Computacionales Iberoamericanos (SIEMCI), project number 522RT0130, in Programa Iberoamericano de Ciencia y Tecnologia para el Desarrollo (CYTED).</t>
  </si>
  <si>
    <t>Aluja, 1987, TECNICAS OPERATIVAS; Arbonies Ortiz A.L., 2006, CONOCIMIENTO INNOVAR, V2nd; Argyris C., 1997, REIS, P345, DOI [10.2307/40183951, DOI 10.2307/40183951]; Becker MC, 2005, CAMB J ECON, V29, P249, DOI 10.1093/cje/bei031; Ben Arfi W, 2021, SMALL BUS ECON, V56, P1191, DOI 10.1007/s11187-019-00262-6; Blanco-Mesa F, 2021, MATHEMATICS-BASEL, V9, DOI 10.3390/math9090973; Blanco-Mesa F, 2018, COMPUT MATH ORGAN TH, V24, P441, DOI 10.1007/s10588-018-09284-z; Blanco-Mesa F, 2017, J INTELL FUZZY SYST, V32, P2033, DOI 10.3233/JIFS-161640; Chang HC, 2011, KNOWL-BASED SYST, V24, P652, DOI 10.1016/j.knosys.2011.02.003; datacreditoempresas, DATACREDITO EXPERIAN; Feldman MS, 2000, ORGAN SCI, V11, P611, DOI 10.1287/orsc.11.6.611.12529; Gil-Aluja J, 1999, ELEMENTOS TEORIA DEC; Gil-Lafuente A.M., 2012, P SOFT COMPUTING MAN, V287, P375; Gil-Lafuente A. M., 2020, INQUIET EMPRESARIAL, V20, P73, DOI [10.19053/01211048.9133, DOI 10.19053/01211048.9133]; Haldin-Herrgard T., 2000, J INTELLECT CAP, V1, P357, DOI DOI 10.1108/14691930010359252; Hilliard R, 2019, STRATEG ORGAN, V17, P210, DOI 10.1177/1476127018755001; Hislop D, 2002, J INFORM TECHNOL, V17, P165, DOI 10.1080/02683960210161230; Hoogeboom MAMG, 2020, GROUP ORGAN MANAGE, V45, P3, DOI 10.1177/1059601119854927; Hussinki H, 2017, J INTELLECT CAP, V18, P904, DOI 10.1108/JIC-11-2016-0116; Johannessen JA, 2001, INT J INFORM MANAGE, V21, P3, DOI 10.1016/S0268-4012(00)00047-5; Kaufmann A, 1993, TECNICAS ESPECIALES; Kaufmann A., 1988, MODELOS INVESTIGACIO; Kaufmann A., 1986, INTRO TEORIA SUBCONJ; Kianto A, 2016, J KNOWL MANAG, V20, P621, DOI 10.1108/JKM-10-2015-0398; Lechner C, 2007, LONG RANGE PLANN, V40, P9, DOI 10.1016/j.lrp.2007.02.001; Lee H, 2003, J MANAGE INFORM SYST, V20, P179; Levin DZ, 2004, MANAGE SCI, V50, P1477, DOI 10.1287/mnsc.1030.0136; Lu HP, 2016, KNOWL MAN RES PRACT, V14, P270, DOI 10.1057/kmrp.2014.29; March J. G., 1958, ORGANIZATIONS; Mejia-Rocha M.I., 2013, DESARRO GERENC, V5, P145; Ministerio de Comercio I., I T PERF EC COM DEP; Nelson R., 1985, EVOLUTION THEORY EC; NONAKA I, 1994, ORGAN SCI, V5, P14, DOI 10.1287/orsc.5.1.14; Nonaka I, 1998, CALIF MANAGE REV, V40, P40, DOI 10.2307/41165942; Nonaka I, 1996, INT J TECHNOL MANAGE, V11, P833; Nonaka I, 2000, LONG RANGE PLANN, V33, P5, DOI 10.1016/S0024-6301(99)00115-6; NONAKA I, 1991, HARVARD BUS REV, V69, P96; Nonaka I, 2009, ORGAN SCI, V20, P635, DOI 10.1287/orsc.1080.0412; Parmigiani A, 2011, ACAD MANAG ANN, V5, P413, DOI 10.1080/19416520.2011.589143; Patnayakuni R, 2006, J ASSOC INF SYST, V7, P545, DOI 10.17705/1jais.00097; PENTLAND BT, 1995, ORGAN SCI, V6, P541, DOI 10.1287/orsc.6.5.541; Ramirez R., 2018, GESTION ESTRATEGICA, V1st; Rice J. L., 2005, INT J ORG BEHAV, V9, P671; Sarbaugh-Thompson M, 1998, ORGAN SCI, V9, P685, DOI 10.1287/orsc.9.6.685; Schaefer C., 2021, INT J INTELL NETW, V2, P156, DOI [10.1016/j.ijin.2021.09.004, DOI 10.1016/J.IJIN.2021.09.004]; Teece DJ, 2012, J MANAGE STUD, V49, P1395, DOI 10.1111/j.1467-6486.2012.01080.x; Tippmann E, 2014, LONG RANGE PLANN, V47, P206, DOI 10.1016/j.lrp.2013.11.001; Velazquez-Cazares MG, 2021, COMPUT MATH ORGAN TH, V27, P384, DOI 10.1007/s10588-020-09321-w; Zahra SA, 2002, ACAD MANAGE REV, V27, P185, DOI 10.2307/4134351; Zappi Daniela C., 2015, Rodriguésia, V66, P1085; Zollo M, 2002, ORGAN SCI, V13, P339, DOI 10.1287/orsc.13.3.339.2780</t>
  </si>
  <si>
    <t>2227-7390</t>
  </si>
  <si>
    <t>MATHEMATICS-BASEL</t>
  </si>
  <si>
    <t>Mathematics</t>
  </si>
  <si>
    <t>10.3390/math11020412</t>
  </si>
  <si>
    <t>8E3YH</t>
  </si>
  <si>
    <t>WOS:000918912600001</t>
  </si>
  <si>
    <t>Borda, J; Gonzalez, C; Torres, R</t>
  </si>
  <si>
    <t>Borda, Johana; Gonzalez, Claudia; Torres, Robinson</t>
  </si>
  <si>
    <t>Aqueous Recovery of Zinc and Lead from Coal Fly Ashes of a Colombian Thermoelectric Plant</t>
  </si>
  <si>
    <t>INGENIERIA E INVESTIGACION</t>
  </si>
  <si>
    <t>fly ash; leaching; HNO3; sodium citrate; zinc; lead</t>
  </si>
  <si>
    <t>POWER-PLANTS; MANAGEMENT; MECHANISM; EXPANSION; RESIDUES; ELEMENTS; ZEOLITE; FUSION</t>
  </si>
  <si>
    <t>A hydrometallurgical treatment under ambient conditions was proposed in order to eliminate and recover the lead and zinc contained in a sample of thermal coal fly ash used to produce energy. By using leaching solutions with conventional inorganic acids (HCl, HNO3, and H2SO4), ferric chloride, and sodium citrate, more than 90% zinc and approximately 40% lead were obtained. The most favorable leaching conditions were set at 0,5 M, with a pH value of 8 for citrate. Two leaching stages were necessary to optimize metal recovery: the first with nitric acid for zinc extraction and the second one with citrate for the lead. The sulfur phases of the metals limited a complete metal extraction.</t>
  </si>
  <si>
    <t>[Borda, Johana] Univ Pedag &amp; Tecnol Colombia, Fac Ingn, Escuela Ingn Met, Met &amp; Ciencia Mat, Tunja, Colombia; [Gonzalez, Claudia] Univ Pedag &amp; Tecnol Colombia, Fac Ingn, Escuela Ingn Met, Ingn Met, Tunja, Colombia; [Torres, Robinson] Univ Pedag &amp; Tecnol Colombia, Fac Ingn, Escuela Ingn Met, Tunja, Colombia</t>
  </si>
  <si>
    <t>Borda, J (corresponding author), Univ Pedag &amp; Tecnol Colombia, Fac Ingn, Escuela Ingn Met, Met &amp; Ciencia Mat, Tunja, Colombia.</t>
  </si>
  <si>
    <t>angelajohana.borda@uptc.edu.co; claudia.gonzalez03@uptc.edu.co; robinson.torres@uptc.edu.co</t>
  </si>
  <si>
    <t>Borda, Johana/0000-0002-0540-0519; Torres, Robinson/0000-0002-4033-0827</t>
  </si>
  <si>
    <t>VIE-SGI project; Grupo Metalurgia No Ferrosa [Non-ferrous metallurgy group] of Universidad Pedagogica y Tecnologica de Colombia</t>
  </si>
  <si>
    <t>The authors are grateful for the support received from the VIE-SGI project in order to carry out this research, as well as for the support offered by Grupo Metalurgia No Ferrosa [Non-ferrous metallurgy group] of Universidad Pedagogica y Tecnologica de Colombia.</t>
  </si>
  <si>
    <t>Aguilar-Perez G., 1997, LIXIVIACION GALENA C; [Anonymous], 2014, C618 ASTM, DOI [10.1520/C0618, DOI 10.1520/C0618]; Asokan P, 2005, RESOUR CONSERV RECY, V43, P239, DOI 10.1016/j.resconrec.2004.06.003; Awoyemi OM, 2019, J ENVIRON MANAGE, V237, P449, DOI 10.1016/j.jenvman.2019.02.103; Borda J, 2022, REV MEX ING QUIM, V21, DOI 10.24275/rmiq/Cat2606; Borda J, 2022, CAN METALL QUART, V61, P464, DOI 10.1080/00084433.2022.2046902; Chindaprasirt P, 2014, ARAB J SCI ENG, V39, P6001, DOI 10.1007/s13369-014-1217-1; Danker R., 2001, 6 INT C BIOGEOCHEMIS; Das S. K., 2021, CASE STUDIES CHEM EN, V4; Eriksson G., 1979, Analytica Chimica Acta, Computer Techniques and Optimization, V112, P375, DOI 10.1016/S0003-2670(01)85035-2; Erol M, 2008, FUEL, V87, P1334, DOI 10.1016/j.fuel.2007.07.002; Fytianos K, 1998, ENVIRON INT, V24, P477, DOI 10.1016/S0160-4120(98)00027-0; Guo XF, 2016, CHEMOSPHERE, V147, P412, DOI 10.1016/j.chemosphere.2015.12.087; Henao F, 2020, RENEW ENERG, V158, P612, DOI 10.1016/j.renene.2020.05.055; Jackson B., 2001, 6 INT C BIOGEOCHEMIS; Jayaranjan MLD, 2014, REV ENVIRON SCI BIO, V13, P467, DOI 10.1007/s11157-014-9336-4; Kockal NU, 2012, BOL SOC ESP CERAM V, V51, P297, DOI 10.3989/cyv.412012; Levenspiel O, 1999, IND ENG CHEM RES, V38, P4140, DOI 10.1021/ie990488g; Lv ZY, 2022, J ENVIRON CHEM ENG, V10, DOI 10.1016/j.jece.2022.107268; Martínez-López Carolina, 2015, Dyna rev.fac.nac.minas, V82, P74, DOI 10.15446/dyna.v82n190.43136; Menendez E, 2013, BOL SOC ESP CERAM V, V52, P296, DOI 10.3989/cyv.372013; Murayama N, 2002, INT J MINER PROCESS, V64, P1, DOI 10.1016/S0301-7516(01)00046-1; Nieves L.J.J., 2021, ENERGY GEOSCIENCE, V2, P167, DOI DOI 10.1016/J.ENGEOS.2020.09.004; NIST, 2004, CRIT SEL STAB CONST; Ozdemir OD, 2019, WASTE BIOMASS VALORI, V10, P143, DOI 10.1007/s12649-017-0050-7; Pandey VC, 2010, AGR ECOSYST ENVIRON, V136, P16, DOI 10.1016/j.agee.2009.11.013; Valderrama CP, 2011, ING INVEST, V31, P39; Pedraza SP, 2015, PROC MAT SCI, V9, P496, DOI 10.1016/j.mspro.2015.05.022; Peng F, 2004, FUEL, V83, P1973, DOI 10.1016/j.fuel.2004.04.008; Puigdomenech I., 2004, INORG CHEM; Punshon T., 2003, CHEM TRACE ELEMENTS, P1, DOI [10.1007/978-1-4757-4757-7_1, DOI 10.1007/978-1-4757-4757-7_1]; Querol X, 2002, INT J COAL GEOL, V50, P413, DOI 10.1016/S0166-5162(02)00124-6; Ram LC, 2007, ENVIRON MANAGE, V40, P438, DOI 10.1007/s00267-006-0126-9; Ram LC, 2006, J ENVIRON MANAGE, V79, P173, DOI 10.1016/j.jenvman.2005.06.008; Rivera JF, 2014, REV CONSTR, V13, P31, DOI 10.4067/S0718-915X2014000200004; Santaella L. E., 2001, CIENC ING NEOGRANAD, V10, P47; Sauer JJ, 2012, J GEOTECH GEOENVIRON, V138, P968, DOI 10.1061/(ASCE)GT.1943-5606.0000653; SHIGEMOTO N, 1993, J MATER SCI, V28, P4781, DOI 10.1007/BF00414272; Siddique R, 2010, RESOUR CONSERV RECY, V54, P1060, DOI 10.1016/j.resconrec.2010.06.011; Smith J. M., 1981, CHEM ENG KINETICS, V3rd; Sushil S, 2006, FUEL, V85, P2676, DOI 10.1016/j.fuel.2006.04.031; Tang MC, 2019, MINER ENG, V136, P36, DOI 10.1016/j.mineng.2019.01.027; Torres R, 2020, HYDROMETALLURGY, V197, DOI 10.1016/j.hydromet.2020.105461; Torres R, 2017, WASTE MANAGE, V60, P561, DOI 10.1016/j.wasman.2016.12.001; Vinasco G, 2014, ELECTR POW SYST RES, V110, P94, DOI 10.1016/j.epsr.2013.12.016; Wang NN, 2020, J HAZARD MATER, V396, DOI 10.1016/j.jhazmat.2020.122725; Wang NN, 2017, RSC ADV, V7, P52524, DOI 10.1039/c7ra09925h; Yao ZT, 2015, EARTH-SCI REV, V141, P105, DOI 10.1016/j.earscirev.2014.11.016; Zarate-Gutierrez R, 2015, CAN METALL QUART, V54, P305, DOI 10.1179/1879139515Y.0000000020</t>
  </si>
  <si>
    <t>UNIV NAC COLOMBIA, FAC INGENIERIA</t>
  </si>
  <si>
    <t>CARRERA 30 NO 45-03, EDIFICIO 408 CADE, BOGOTA, DC 00000, COLOMBIA</t>
  </si>
  <si>
    <t>0120-5609</t>
  </si>
  <si>
    <t>2248-8723</t>
  </si>
  <si>
    <t>ING INVEST</t>
  </si>
  <si>
    <t>Ing. Invest.</t>
  </si>
  <si>
    <t>e95364</t>
  </si>
  <si>
    <t>10.15446/ing.investig.95364</t>
  </si>
  <si>
    <t>9D0FI</t>
  </si>
  <si>
    <t>WOS:000935781700011</t>
  </si>
  <si>
    <t>Alarcon-Granados, MC; Moreno-Ortiz, H; Esteban-Perez, CI; Ferrebuz-Cardozo, A; Camargo-Villalba, GE; Forero-Castro, M</t>
  </si>
  <si>
    <t>Camila Alarcon-Granados, Maria; Moreno-Ortiz, Harold; Ines Esteban-Perez, Clara; Ferrebuz-Cardozo, Atilio; Eugenia Camargo-Villalba, Gloria; Forero-Castro, Maribel</t>
  </si>
  <si>
    <t>Assessment of THADA gene polymorphisms in a sample of Colombian women with polycystic ovary syndrome: A pilot study</t>
  </si>
  <si>
    <t>HELIYON</t>
  </si>
  <si>
    <t>Single nucleotide polymorphism; THADA gene; Polycystic ovary syndrome; Colombian women</t>
  </si>
  <si>
    <t>GENOME-WIDE ASSOCIATION; SUSCEPTIBILITY LOCI; CHROMOSOME 2P16.3; VARIANTS; RISK; PCOS; DENND1A; SNPS; 2P21</t>
  </si>
  <si>
    <t>Polycystic ovary syndrome Colombian women Polycystic ovary syndrome (PCOS) is a multifactorial and polygenic endocrine-metabolic disorder in women of reproductive age. SNPs in the THADA gene have been identified as PCOS risk loci. In this study, we evaluated the frequency of five polymorphisms in a sample of Colombian women with PCOS, and their association with clinical and endocrine-metabolic parameters. Forty-nine women with PCOS and forty-nine healthy women were included. Allelic discrimination was performed in the THADA gene by iPLEX and the Mass ARRAY system (Agena Bioscience). Haploview software was conducted to analyze the linkage disequilibrium (LD) and haplotypes of polymorphisms.There was an association between the genotypes TT of rs12468394, CC + AA of rs12468394, and GGof rs6544661 and an increase in the levels of free testosterone. The CC + AA of rs12468394 genotype also was associated with an increase of and rostenedione levels. THADA gene SNPs were not associated with PCOS risk.There was very strong LD among the SNPs. No significant differences in the frequency of haplotypes between groups were observed. The statistical power of this analysis is low because of the small number of samples analyzed. Additional studies involving large populations of Colombian women with PCOS are needed to verify the role of the THADA gene in this disorder.</t>
  </si>
  <si>
    <t>[Camila Alarcon-Granados, Maria; Forero-Castro, Maribel] Univ Pedag &amp; Tecnol Colombia, Grp Invest Ciencias Biomed GICBUPTC, Fac Ciencias, Tunja 150003, Colombia; [Moreno-Ortiz, Harold; Ines Esteban-Perez, Clara] In Vitro Colombia, Dept Biogenet Reprod, Bogota, Colombia; [Ferrebuz-Cardozo, Atilio; Eugenia Camargo-Villalba, Gloria] Univ Boyaca, Fac Ciencias Salud, Programa Med, Tunja, Colombia</t>
  </si>
  <si>
    <t>Forero-Castro, M (corresponding author), Univ Pedag &amp; Tecnol Colombia, Grp Invest Ciencias Biomed GICBUPTC, Fac Ciencias, Tunja 150003, Colombia.</t>
  </si>
  <si>
    <t>maribel.forero@uptc.edu.co</t>
  </si>
  <si>
    <t>Ferrebuz, Atilio/0000-0002-7396-2775; CAMARGO VILLALBA, GLORIA EUGENIA/0000-0003-4505-7644</t>
  </si>
  <si>
    <t>Universidad Pedagogica y Tecnologica de Colombia; Universidad de Boyaca [SGI] [2677]</t>
  </si>
  <si>
    <t>Universidad Pedagogica y Tecnologica de Colombia; Universidad de Boyaca [SGI]</t>
  </si>
  <si>
    <t>This study was supported by Universidad Pedagogica y Tecnologica de Colombia and Universidad de Boyaca [SGI code 2677, VIE 06 of 2019].</t>
  </si>
  <si>
    <t>Almawi WY, 2015, J ASSIST REPROD GEN, V32, P607, DOI 10.1007/s10815-015-0427-0; Bakhashab S, 2019, BIOINFORMATION, V15, P812, DOI 10.6026/97320630015812; Bao S, 2016, INT J CLIN EXP PATHO, V9, P11883; Barrett JC, 2005, BIOINFORMATICS, V21, P263, DOI 10.1093/bioinformatics/bth457; Bellver J, 2018, J ASSIST REPROD GEN, V35, P25, DOI 10.1007/s10815-017-1047-7; Brower M.A., 2015, J CLIN ENDOCR METAB; Castillo-Higuera T, 2021, REPROD SCI, V28, P2399, DOI 10.1007/s43032-020-00375-4; Chang J, 2004, FERTIL STERIL, V81, P19, DOI 10.1016/j.fertnstert.2003.10.004; Che XX, 2020, J MOL ENDOCRINOL, V64, P1, DOI 10.1530/JME-19-0159; Chen L, 2017, EXP THER MED, V14, P4896, DOI 10.3892/etm.2017.5113; Chen ZJ, 2011, NAT GENET, V43, P55, DOI 10.1038/ng.732; Costello MF, 2019, AUST NZ J OBSTET GYN, V59, P867, DOI 10.1111/ajo.13051; Cui L., 2013, HUM REPROD; Daghestani MH, 2020, J MED BIOCHEM, V39, P149, DOI 10.2478/jomb-2019-0023; Day F.R., 2015, NAT COMMUN; Day F, 2018, PLOS GENET, V14, DOI 10.1371/journal.pgen.1007813; Ding K, 2007, EUR J HUM GENET, V15, P228, DOI 10.1038/sj.ejhg.5201755; Du T, 2015, BIOMED RES INT, V2015, DOI 10.1155/2015/483726; Eriksen MB, 2012, EUR J OBSTET GYN R B, V163, P39, DOI 10.1016/j.ejogrb.2012.03.020; Gabriel Stacey, 2009, Curr Protoc Hum Genet, VChapter 2, DOI 10.1002/0471142905.hg0212s60; Goodarzi MO, 2012, J MED GENET, V49, P90, DOI 10.1136/jmedgenet-2011-100427; Hayes MG, 2015, NAT COMMUN, V6, DOI 10.1038/ncomms8502; Hiam D, 2019, J CLIN MED, V8, DOI 10.3390/jcm8101606; Hong Eun Pyo, 2012, Genomics &amp; Informatics, V10, P117, DOI 10.5808/GI.2012.10.2.117; Hwang JY, 2012, J HUM GENET, V57, P660, DOI 10.1038/jhg.2012.92; Kakoly NS, 2018, HUM REPROD UPDATE, V24, P455, DOI 10.1093/humupd/dmy007; Khan MJ, 2019, APPL CLIN GENET, V12, P249, DOI 10.2147/TACG.S200341; Lee H, 2015, HUM REPROD, V30, P723, DOI 10.1093/humrep/deu352; Li X, 2017, REPROD DEV MED, V1, P80, DOI 10.4103/2096-2924.216859; Liaqat I, 2015, REPROD SCI, V22, P347, DOI 10.1177/1933719114542015; Mejia C.A.I., 2013, INVEST ANDIN, V15, P760; Moraru A, 2017, DEV CELL, V41, P72, DOI 10.1016/j.devcel.2017.03.016; Oeth P., 2005, IPLEXTM ASSAY INCREA, V1, P1; Ossa H, 2016, PLOS ONE, V11, DOI 10.1371/journal.pone.0164414; Park S, 2019, HORM METAB RES, V51, P661, DOI 10.1055/a-0969-1872; Randeva HS, 2012, ENDOCR REV, V33, P812, DOI 10.1210/er.2012-1003; Rodriguez-Paris D, 2019, PSYCHIATR POL, V53, P955, DOI 10.12740/PP/OnlineFirst/93105; Shi YY, 2012, NAT GENET, V44, P1020, DOI 10.1038/ng.2384; Sole X, 2006, BIOINFORMATICS, V22, P1928, DOI 10.1093/bioinformatics/btl268; Storm Niels, 2003, Methods Mol Biol, V212, P241; Thorsteinsdottir U., 2012, OVARY SYNDROME WOMEN, V97, P1342; Tian Y, 2020, FRONT ENDOCRINOL, V11, DOI 10.3389/fendo.2020.00274; Vishnubotla DS, 2020, GENE, V752, DOI 10.1016/j.gene.2020.144760; Welt CK, 2012, J CLIN ENDOCR METAB, V97, pE1342, DOI 10.1210/jc.2011-3478; Zeggini E, 2008, NAT GENET, V40, P638, DOI 10.1038/ng.120; Zeng X, 2020, CLIN CHIM ACTA, V502, P214, DOI 10.1016/j.cca.2019.11.003; Zhang YJ, 2019, J MATERN-FETAL NEO M, V32, P3801, DOI 10.1080/14767058.2018.1472228; Zhao H, 2012, HUM REPROD, V27, P294, DOI 10.1093/humrep/der379; Zheng MX, 2016, J ASSIST REPROD GEN, V33, P199, DOI 10.1007/s10815-015-0641-9; Zhu SQ, 2019, FERTIL STERIL, V111, P168, DOI 10.1016/j.fertnstert.2018.09.013; Zhu TT, 2021, DIABETES, V70, P627, DOI 10.2337/db20-0800</t>
  </si>
  <si>
    <t>ELSEVIER SCI LTD</t>
  </si>
  <si>
    <t>OXFORD</t>
  </si>
  <si>
    <t>THE BOULEVARD, LANGFORD LANE, KIDLINGTON, OXFORD OX5 1GB, OXON, ENGLAND</t>
  </si>
  <si>
    <t>2405-8440</t>
  </si>
  <si>
    <t>Heliyon</t>
  </si>
  <si>
    <t>e09673</t>
  </si>
  <si>
    <t>10.1016/j.heliyon.2022.e09673</t>
  </si>
  <si>
    <t>JUN 2022</t>
  </si>
  <si>
    <t>Multidisciplinary Sciences</t>
  </si>
  <si>
    <t>Science &amp; Technology - Other Topics</t>
  </si>
  <si>
    <t>3O0HK</t>
  </si>
  <si>
    <t>WOS:000836523000021</t>
  </si>
  <si>
    <t>Mora-Ocacion, MS; Morillo-Coronado, AC; Manjarres-Hernandez, EH</t>
  </si>
  <si>
    <t>Mora-Ocacion, Mary S.; Morillo-Coronado, Ana Cruz; Manjarres-Hernandez, Elsa Helena</t>
  </si>
  <si>
    <t>Extraction and Quantification of Saponins in Quinoa (Chenopodium quinoa Willd.) Genotypes from Colombia</t>
  </si>
  <si>
    <t>INTERNATIONAL JOURNAL OF FOOD SCIENCE</t>
  </si>
  <si>
    <t>Quinoa has a high nutraceutical potential because of the presence of secondary metabolites called saponins, which have industrial and medicinal uses and protect against attacks by pathogens. These compounds are found especially in the seed coat and give the grain a bitter taste; therefore, they must be eliminated before consumption. Despite the potential use in Colombia, there are few studies aimed at quantifying this metabolite. Therefore, the objective of this research was to evaluate two extraction methodologies (physical and chemical) and two methods for quantifying saponins in five quinoa genotypes grown in Colombia. The most efficient extraction method was the physical method. The saponin contents of the five genotypes were variable. The cluster analysis differentiated the genotypes into two groups: low saponin content (&lt;4.49 mg/g seed) and high saponin content (&gt;14.76 mg/g seeds). Blanca de Jerico had the lowest saponin content (&lt;0.40%), and Amarilla de Marangani had the highest content (&gt;0.18%). Identifying more efficient methodologies for extracting and quantifying saponins will allow a better characterization of the germplasm and selection of genotypes with desirable characteristics for both consumption and industrial use.</t>
  </si>
  <si>
    <t>[Mora-Ocacion, Mary S.; Morillo-Coronado, Ana Cruz] Univ Pedag &amp; Tecnol Colombia, Escuela Ingn Agron, Tunja 150003, Colombia; [Manjarres-Hernandez, Elsa Helena] Univ Pedag &amp; Tecnol Colombia, Escuela Ciencias Biol, Tunja 150003, Colombia</t>
  </si>
  <si>
    <t>Manjarres-Hernandez, EH (corresponding author), Univ Pedag &amp; Tecnol Colombia, Escuela Ciencias Biol, Tunja 150003, Colombia.</t>
  </si>
  <si>
    <t>mary.mora@uptc.edu.co; ana.morillo@uptc.edu.co; elsa.manjarres@uptc.edu.co</t>
  </si>
  <si>
    <t>Morillo Coronado, Ana Cruz/GLV-1980-2022; Manjarres Hernández, Elsa Helena/HHN-6350-2022</t>
  </si>
  <si>
    <t>Manjarres Hernández, Elsa Helena/0000-0001-6221-8636; Morillo Coronado, Ana Cruz/0000-0003-3125-0697; Ocacion, Mary Stephanie Mora/0000-0003-1125-050X</t>
  </si>
  <si>
    <t>Patrimonio Autonomo Fondo Nacional de Financiamiento para la Ciencia, la Tecnologia y la Innovacion Francisco Jose de Caldas-MinCiencias [63924]; CIDE group Competitividad, Innovacion y Desarrollo Empresarial; Faculty of Agricultural Sciences of the Universidad Pedagogica y Tecnologica de Colombia</t>
  </si>
  <si>
    <t>Patrimonio Autonomo Fondo Nacional de Financiamiento para la Ciencia, la Tecnologia y la Innovacion Francisco Jose de Caldas-MinCiencias; CIDE group Competitividad, Innovacion y Desarrollo Empresarial; Faculty of Agricultural Sciences of the Universidad Pedagogica y Tecnologica de Colombia</t>
  </si>
  <si>
    <t>The Patrimonio Autonomo Fondo Nacional de Financiamiento para la Ciencia, la Tecnologia y la Innovacion Francisco Jose de Caldas-MinCiencias. Cod. 63924, the CIDE group Competitividad, Innovacion y Desarrollo Empresarial, and the Faculty of Agricultural Sciences of the Universidad Pedagogica y Tecnologica de Colombia supported the study.</t>
  </si>
  <si>
    <t>Ahumada Andrés, 2016, Rev. colomb. cienc. quim. farm., V45, P438, DOI 10.15446/rcciquifa.v45n3.62043; Velasquez-Florez MA, 2020, INGENIERIA-BOGOTA, V25, P50, DOI 10.14483/23448393.15298; Amankeldi F, 2018, COLLOID INTERFAC, V2, DOI 10.3390/colloids2010002; Bergesse AE, 2019, NUTR CLIN DIET HOSP, V39, P107, DOI 10.12873/391bergesse; Cerron F.G, 2021, EFFECTS TEMPERATURE; Cheok CY, 2014, FOOD RES INT, V59, P16, DOI 10.1016/j.foodres.2014.01.057; FAO Quinoa, 2011, REGIONAL OFFICE LATI; Fiallos-Jurado J, 2016, PLANT SCI, V250, P188, DOI 10.1016/j.plantsci.2016.05.015; Flores T., 2013, REV PERUANA QU MICA, V16, P47; Francis G, 2002, BRIT J NUTR, V88, P587, DOI 10.1079/BJN2002725; Garcia M. A., 2018, INFORMADOR T CNICO, V82, P241, DOI [10.23850/22565035.1451, DOI 10.23850/22565035.1451]; Gianna V, 2013, EXTRACTION QUANTIFIC; Han YM, 2019, LWT-FOOD SCI TECHNOL, V114, DOI 10.1016/j.lwt.2019.108381; Jarvis DE, 2017, NATURE, V542, P307, DOI 10.1038/nature21370; Kilinc O.K., 2016, RES REV RES J BIOL, V4, P25; KOZIOL MJ, 1991, J SCI FOOD AGR, V54, P211, DOI 10.1002/jsfa.2740540206; Lin MY, 2019, MOLECULES, V24, DOI 10.3390/molecules24132512; Lozano M, 2012, REV BOLIV QUIM, V29, P128; Gomez-Caravaca AM, 2014, FOOD CHEM, V157, P174, DOI 10.1016/j.foodchem.2014.02.023; Mhada M, 2020, FOODS, V9, DOI 10.3390/foods9050660; MONTES-ROJAS CONSUELO, 2018, Rev.Bio.Agro, V16, P26, DOI 10.18684/bsaa.v16n2.1163; Quiroga C, 2010, REV INVESTIGACION DE, V10, P49, DOI [10.23881/idupbo.010.1-4i, DOI 10.23881/IDUPBO.010.1-4I]; Rafik S, 2021, PLANTS-BASEL, V10, DOI 10.3390/plants10061133; Ramos S, 2017, DETERMINATION SPRAY; Ruiz KB, 2017, IND CROP PROD, V104, P156, DOI 10.1016/j.indcrop.2017.04.007; Subieta C, 2011, INVESTIGACION DESARR, V11, P96, DOI [10.23881/idupbo.011.1-6i, DOI 10.23881/IDUPBO.011.1-6I]; Usina K, 2017, ANAL SURFACTANT PROP</t>
  </si>
  <si>
    <t>HINDAWI LTD</t>
  </si>
  <si>
    <t>ADAM HOUSE, 3RD FLR, 1 FITZROY SQ, LONDON, W1T 5HF, ENGLAND</t>
  </si>
  <si>
    <t>2356-7015</t>
  </si>
  <si>
    <t>2314-5765</t>
  </si>
  <si>
    <t>INT J FOOD SCI</t>
  </si>
  <si>
    <t>Int. J. Food Sci.</t>
  </si>
  <si>
    <t>FEB 28</t>
  </si>
  <si>
    <t>10.1155/2022/7287487</t>
  </si>
  <si>
    <t>Food Science &amp; Technology; Nutrition &amp; Dietetics</t>
  </si>
  <si>
    <t>0G9ID</t>
  </si>
  <si>
    <t>WOS:000778350600001</t>
  </si>
  <si>
    <t>Cleves, A; Youkhana, E; Toro, J</t>
  </si>
  <si>
    <t>Cleves, Alejandro; Youkhana, Eva; Toro, Javier</t>
  </si>
  <si>
    <t>A Method to Assess Agroecosystem Resilience to Climate Variability</t>
  </si>
  <si>
    <t>index; resilience indicators; climatic variability; agroecosystems</t>
  </si>
  <si>
    <t>SMALL-SCALE FARMERS; ADAPTATION STRATEGIES; CHANGING CLIMATE; SOIL-EROSION; LAND-USE; IMPACTS; SUSTAINABILITY; AGRICULTURE; FRAMEWORK; SYSTEMS</t>
  </si>
  <si>
    <t>Agroecosystems are influenced by climate variability, which puts their productivity at risk. However, they tend to maintain a functional state through their resilience. The literature presents several methods for assessing general resilience, but for specific resilience to climate variability, there are very few methods. An index is proposed that assesses the resilience of agroecosystems to climate variability, based on approaches and indicators that consider the interrelationships of agricultural systems with the environment. The index is made up of a set of multidimensional indicators, which give weight to the role that these play in the resilience of an agroecosystem. As a result, decision-making is assisted in the attempt to adapt or modify components of a farm, technology, and the culture of farmers. This index conceptually introduces structural and linkage indicators that assess ecological connections within farms and between farms and their environment. To demonstrate the effectiveness of the method, an application was implemented to evaluate the resilience to climate variability of fifty-one farms, located in Colombia, dedicated to citrus production, and it was verified that the most resilient farms were those that have the best qualified indicators, as well as being the ones with the highest level of production and profitability.</t>
  </si>
  <si>
    <t>[Cleves, Alejandro] Univ Pedag &amp; Tecnol Colombia UPTC, Fac Secc Duitama, Escuela Adm Empresas Agr, Duitama 150468, Colombia; [Youkhana, Eva] Univ Bonn, Ctr Dev Res ZEF ZEF A, Dept Polit &amp; Cultural Change, D-53113 Bonn, Germany; [Toro, Javier] Univ Nacl Colombia, Inst Estudios Ambientales, Bogota 111321, Colombia</t>
  </si>
  <si>
    <t>Universidad Pedagogica y Tecnologica de Colombia (UPTC); University of Bonn; Universidad Nacional de Colombia</t>
  </si>
  <si>
    <t>Toro, J (corresponding author), Univ Nacl Colombia, Inst Estudios Ambientales, Bogota 111321, Colombia.</t>
  </si>
  <si>
    <t>jose.cleves@uptc.edu.co; eva.youkhana@uni-bonn.de; jjtoroca@unal.edu.co</t>
  </si>
  <si>
    <t>Calderón, Environmental Engineering Javier Toro/L-3799-2017</t>
  </si>
  <si>
    <t>Calderón, Environmental Engineering Javier Toro/0000-0001-6675-5148; CLEVES LEGUIZAMO, JOSE ALEJANDRO/0000-0001-9717-9753</t>
  </si>
  <si>
    <t>Universidad Pedagogica y Tecnologica de Colombia; Universidad Nacional de Colombia, Bogota [13129]; Center for Development Research (ZEF); University of Bonn, Germany</t>
  </si>
  <si>
    <t>Universidad Pedagogica y Tecnologica de Colombia; Universidad Nacional de Colombia, Bogota; Center for Development Research (ZEF); University of Bonn, Germany</t>
  </si>
  <si>
    <t>This research was funded by Universidad Pedagogica y Tecnologica de Colombia and Universidad Nacional de Colombia, Bogota (Project Code Hermes: 13129), and the APC was funded by The Center for Development Research (ZEF), an institute of the University of Bonn, Germany.</t>
  </si>
  <si>
    <t>Adger WN, 2000, PROG HUM GEOG, V24, P347, DOI 10.1191/030913200701540465; Alam GMM, 2018, ENVIRON SCI POLICY, V84, P7, DOI 10.1016/j.envsci.2018.02.012; Alinovi Luca, 2010, C PROM RES SOC PROT; Altieri M, 2016, METHODOLOGY IDENTIFI; Altieri M. A., 2008, INT J DISAST RISK SC; Altieri MA, 2017, CLIMATIC CHANGE, V140, P33, DOI 10.1007/s10584-013-0909-y; Anderson A., 2012, J ED SUSTAINABLE DEV, V6, P191, DOI DOI 10.1177/0973408212475199; Angeon V, 2015, WORLD DEV, V72, P140, DOI 10.1016/j.worlddev.2015.02.011; Anik AR, 2021, INT J DISAST RISK RE, V65, DOI 10.1016/j.ijdrr.2021.102562; Antwi-Agyei P, 2021, CLIM RISK MANAG, V32, DOI 10.1016/j.crm.2021.100304; Archer D, 2015, URBAN CLIM, V14, P68, DOI 10.1016/j.uclim.2015.06.007; Arshad M, 2017, INT J SUST DEV WORLD, V24, P532, DOI 10.1080/13504509.2016.1254689; Auci Sabrina, 2021, International Journal of Environmental Studies, V78, DOI 10.1080/00207233.2020.1754559; Ayoo C., 2019, BYPROD AGR FISH ADDI, P685, DOI DOI 10.1002/9781119383956; Baffour-Ata F., 2021, ENV CHALLENG, V4, DOI [10.1016/j.envc.2021.100205, DOI 10.1016/J.ENVC.2021.100205]; Barnes D.F., 2018, MEASURING BENEFITS E; Bates S, 2018, ECOL ECON, V145, P244, DOI 10.1016/j.ecolecon.2017.09.007; Bates S, 2014, ECON MODEL, V42, P445, DOI 10.1016/j.econmod.2014.07.027; Baudron F, 2014, BIOL CONSERV, V170, P232, DOI 10.1016/j.biocon.2013.12.009; Baumhardt R. L., 2014, ENCY AGR FOOD SYSTEM, P153, DOI [10.1016/B978-0-444-52512-3.00091-7, DOI 10.1016/B978-0-444-52512-3.00091-7]; Bekele D., 2021, ADV CROP SCI TECHNOL, V9, P1, DOI [10.4172/2329-8863.1000475, DOI 10.4172/2329-8863.1000475]; Bendito A, 2015, INT J AGR SUSTAIN, V13, P222, DOI 10.1080/14735903.2014.959329; Berkes F., 1998, LINKING SOCIAL ECOLO; Berkes F, 2017, SUSTAINABILITY-BASEL, V9, DOI 10.3390/su9071232; Bezgrebelna M, 2021, INT J ENV RES PUB HE, V18, DOI 10.3390/ijerph18115812; Bonny BP, 2010, J SUSTAIN AGR, V34, P758, DOI 10.1080/10440046.2010.507530; Borden KA, 2020, AGR ECOSYST ENVIRON, V295, DOI 10.1016/j.agee.2020.106915; Borrelli P, 2020, P NATL ACAD SCI USA, V117, P21994, DOI 10.1073/pnas.2001403117; Cabell JF, 2012, ECOL SOC, V17, DOI 10.5751/ES-04666-170118; Eras JJC, 2022, ENERGY, V249, DOI 10.1016/j.energy.2022.123711; Campos M, 2014, LAND USE POLICY, V38, P533, DOI 10.1016/j.landusepol.2013.12.017; Carpenter S, 2001, ECOSYSTEMS, V4, P765, DOI 10.1007/s10021-001-0045-9; Carpenter SR, 2005, ECOSYSTEMS, V8, P941, DOI 10.1007/s10021-005-0170-y; Carpenter SR, 2012, SUSTAINABILITY-BASEL, V4, P3248, DOI 10.3390/su4123248; Chapman S, 2021, ENVIRON RES LETT, V16, DOI 10.1088/1748-9326/ac10e1; Charles KJ, 2022, SCI TOTAL ENVIRON, V813, DOI 10.1016/j.scitotenv.2021.151876; Chen C, 2010, AGR WATER MANAGE, V97, P1175, DOI 10.1016/j.agwat.2008.11.012; Choptiany J., 2015, SELF EVALUATION HOLI; Clark LJ, 2003, PLANT SOIL, V255, P93, DOI 10.1023/A:1026140122848; CLEVES L. JOSÉ ALEJANDRO, 2016, rev.colomb.cienc.hortic., V10, P149, DOI 10.17584/rcch.2016v10i1.4460; Cleves-Leguízamo José Alejandro, 2014, Agron. colomb., V32, P113, DOI 10.15446/agron.colomb.v32n1.42164; Colding J, 2019, ECOL SOC, V24, DOI 10.5751/ES-10598-240102; Conway G., 1986, AGROECOSYSTEM ANAL R; Cordoba C., 2013, AGROECOLOGIA, V8, P21; Cordoba C, 2020, PLOS ONE, V15, DOI 10.1371/journal.pone.0220349; Cothern C., 1996, HDB ENV RISK DECISIO, V1st; DALKEY N, 1963, MANAGE SCI, V9, P458, DOI 10.1287/mnsc.9.3.458; Dardonville M, 2022, AGR SYST, V197, DOI 10.1016/j.agsy.2022.103365; Darnhofer I, 2021, AGR SYST, V187, DOI 10.1016/j.agsy.2020.102997; Davoudi S, 2013, PLAN PRACT RES, V28, P307, DOI 10.1080/02697459.2013.787695; Davoudi S, 2012, PLAN THEORY PRACT, V13, P299, DOI 10.1080/14649357.2012.677124; Debray V, 2019, AGROECOL SUST FOOD, V43, P429, DOI 10.1080/21683565.2018.1509166; Ebi K., 2017, INJURY PREVENTION EN, P153, DOI 10.1596/978-1-4648-0522-6; Eeswaran R, 2021, CLIM RISK MANAG, V32, DOI 10.1016/j.crm.2021.100284; Leon-Sicard TE, 2018, SUSTAINABILITY-BASEL, V10, DOI 10.3390/su10093131; Etter A, 2011, BIOL CONSERV, V144, P1585, DOI 10.1016/j.biocon.2011.02.004; Feder G, 2011, J AGRIBUS DEV EMERG, V1, P31, DOI 10.1108/20440831111131505; Fleiner R, 2013, COMPR ASSESS WAT MAN, V10, P53, DOI 10.1079/9781780640884.0053; Folke C, 2002, AMBIO, V31, P437, DOI 10.1639/0044-7447(2002)031[0437:RASDBA]2.0.CO;2; Folke C, 2004, ANNU REV ECOL EVOL S, V35, P557, DOI 10.1146/annurev.ecolsys.35.021103.105711; Folke C, 2010, ECOL SOC, V15, DOI 10.5751/es-03610-150420; Food and Agriculture Organization of the United Nations, 2016, FAO AN RES BETT TARG; Frankenberg E, 2013, ECOL SOC, V18, DOI 10.5751/ES-05377-180216; Gallopin GC, 2006, GLOBAL ENVIRON CHANG, V16, P293, DOI 10.1016/j.gloenvcha.2006.02.004; GCF, 2018, FP089 UPSC CLIM RES; Gelybo G., 2018, Agrokemia es Talajtan, V67, P121, DOI 10.1556/0088.2018.67.1.9; Gliessman S., 2011, BIOSCIENCE, V61, P77, DOI [10.1525/bio.2011.61.1.14, DOI 10.1525/BIO.2011.61.1.14]; Gonzalez-Orozco CE, 2020, ECOL INDIC, V111, DOI 10.1016/j.ecolind.2019.106015; Goodwin D, 2022, REG ENVIRON CHANGE, V22, DOI 10.1007/s10113-021-01867-y; Guido Z, 2020, CLIM DEV, V12, P395, DOI 10.1080/17565529.2019.1630352; Hani F., 2003, INT FOOD AGRIBUS MAN, V6, P13; Henao SJ, 2013, AGROECOLOGIA, V8, P85; Holling C.S., 1973, Annual Rev Ecol Syst, V4, P1, DOI 10.1146/annurev.es.04.110173.000245; Holt-Gimenez E, 2002, AGR ECOSYST ENVIRON, V93, P87, DOI 10.1016/S0167-8809(02)00006-3; Howard G, 2021, NPJ CLEAN WATER, V4, DOI 10.1038/s41545-021-00130-5; IPCC, 2014, CLIMATE CHANGE 2014; Jackson H. B., 2013, ENCY BIODIVERS, V4, P50, DOI DOI 10.1016/B978-0-12-384719-5.00399-3; Jacobson C, 2020, ENVIRON RES, V186, DOI 10.1016/j.envres.2020.109512; Jarvis D. I., 2007, Managing biodiversity in agricultural ecosystems; Javadpoor M, 2021, INT J DISAST RISK RE, V66, DOI 10.1016/j.ijdrr.2021.102609; Jones L, 2017, REG ENVIRON CHANGE, V17, P229, DOI 10.1007/s10113-016-0995-2; Julien H.E., 2021, AM J IND BUSINESMA, V11, P392, DOI [10.4236/ajibm.2021.115026, DOI 10.4236/AJIBM.2021.115026]; Kalkuhl M, 2020, ECOL ECON, V171, DOI 10.1016/j.ecolecon.2019.106573; Kaly U., 2004, P ENV VULNERABILITY; Kaly U.L, 2005, BUILDING RESILIENCE; Kang YH, 2009, PROG NAT SCI-MATER, V19, P1665, DOI 10.1016/j.pnsc.2009.08.001; Karlen D., 2005, ENCY SOILS ENV, P330; Karmakar R., 2016, SCI INT, V4, P51, DOI [10.17311/sciintl.2016.51.73, DOI 10.17311/SCIINTL.2016.51.73]; Kaushal M., 2019, CLIM CHANGE AGR ECOS, P307, DOI 10.1016/B978- 0- 12- 816483-9.00012- 8; Kazemi H, 2018, ECOL INDIC, V93, P1126, DOI 10.1016/j.ecolind.2018.06.018; Kerner DA, 2014, RESOURCES-BASEL, V3, P672, DOI 10.3390/resources3040672; Keshavarz M, 2021, J ARID ENVIRON, V184, DOI 10.1016/j.jaridenv.2020.104323; Kim H, 2021, TECHNOLOGIES ADAPTIN; Kuhl L, 2018, WORLD DEV, V108, P131, DOI 10.1016/j.worlddev.2018.02.036; Kukal MS, 2018, SCI REP-UK, V8, DOI 10.1038/s41598-018-21848-2; Kumar S, 2020, LAND USE POLICY, V97, DOI 10.1016/j.landusepol.2020.104729; Lamichhane P, 2020, SCI TOTAL ENVIRON, V719, DOI 10.1016/j.scitotenv.2020.137464; Sen LTH, 2020, NJAS-WAGEN J LIFE SC, V92, DOI 10.1016/j.njas.2020.100324; Lee A., 2014, CLIMATE CHANGE IMPAC, P670; Leippert F., 2020, POTENTIAL AGROECOLOG; Lemi T., 2019, INT J ENV SCI NATURA, V17, DOI [10.19080/ijesnr.2019.17.555953, DOI 10.19080/IJESNR.2019.17.555953]; Leon MC, 2006, AGROFOREST SYST, V68, P15, DOI 10.1007/s10457-005-5831-5; Li ZY, 2016, EARTH-SCI REV, V163, P94, DOI 10.1016/j.earscirev.2016.10.004; Lin BB, 2008, BIOSCIENCE, V58, P847, DOI 10.1641/B580911; Lin BB, 2011, BIOSCIENCE, V61, P183, DOI 10.1525/bio.2011.61.3.4; Lindfield G., 2019, NUMERICAL METHODS US, V4th, P433, DOI DOI 10.1016/C2016-0-00395-9; Liu CQ, 2018, INTEGR ENVIRON ASSES, V14, P139, DOI 10.1002/ieam.1969; Lobell DB, 2011, SCIENCE, V333, P616, DOI [10.1126/science.1204531, 10.1126/science.1206376]; Lopez-Ridaura S., 2002, ECOL INDIC, V2, P135, DOI DOI 10.1016/S1470-160X(02)00043-2; Manyuchi AE, 2021, CLIM SERV, V24, DOI 10.1016/j.cliser.2021.100271; Santiago CM, 2021, AGRICULTURE-BASEL, V11, DOI 10.3390/agriculture11111096; Mariusz S., 2020, AGRONOMY, V10, P625; Marshall NA, 2019, FRONT PSYCHOL, V10, DOI 10.3389/fpsyg.2019.00938; Martin DJ, 2015, METEOROL APPL, V22, P273, DOI 10.1002/met.1461; Mersha AA, 2018, WORLD DEV, V107, P87, DOI 10.1016/j.worlddev.2018.03.001; Meuwissen M., 2018, REPORT RESILIENCE FR; Meuwissen MPM, 2019, AGR SYST, V176, DOI 10.1016/j.agsy.2019.102656; Mikulic J, 2015, ECOL INDIC, V48, P312, DOI 10.1016/j.ecolind.2014.08.026; Mills G, 2010, PROCEDIA ENVIRON SCI, V1, P228, DOI 10.1016/j.proenv.2010.09.015; Mondal S., 2021, CLIMATE CHANGE MICRO, P551; Morales-Rincon LA, 2021, FRONT ENV SCI-SWITZ, V9, DOI 10.3389/fenvs.2021.673932; Moretti CL, 2010, FOOD RES INT, V43, P1824, DOI 10.1016/j.foodres.2009.10.013; Moser SC, 2015, URBAN CLIM, V14, P111, DOI 10.1016/j.uclim.2015.06.006; Munoz V, 2019, EC EVALUATION CONVEN; Murken L, 2022, CLIM RISK MANAG, V35, DOI 10.1016/j.crm.2022.100419; Naveed Afsar, 2019, Sarhad Journal of Agriculture, V35, P942, DOI 10.17582/journal.sja/2019/35.3.942.947; Ndiritu SW, 2019, STUD AGRIC ECON, V121, P30, DOI 10.7896/j.1822; Neef A, 2018, WORLD DEV, V107, P125, DOI 10.1016/j.worlddev.2018.02.029; Nelson GC, 2014, P NATL ACAD SCI USA, V111, P3274, DOI 10.1073/pnas.1222465110; Nilsson J, 2020, HELIYON, V6, DOI 10.1016/j.heliyon.2020.e04032; Norris FH, 2008, AM J COMMUN PSYCHOL, V41, P127, DOI 10.1007/s10464-007-9156-6; O'Neill BC, 2020, NAT SUSTAIN, V3, P520, DOI 10.1038/s41893-020-0512-y; Ochieng J, 2016, NJAS-WAGEN J LIFE SC, V77, P71, DOI 10.1016/j.njas.2016.03.005; Olutumise AI, 2021, INT J BIOMETEOROL, V65, P951, DOI 10.1007/s00484-021-02079-z; Ostrom E., 2005, GLOBALISATION POVERT, P239, DOI DOI 10.1007/1-4020-2858-X_13; Pachauri S, 2004, ECON POLIT WEEKLY, V39, P271; Pailler S, 2018, WORLD DEV, V106, P15, DOI 10.1016/j.worlddev.2018.01.002; Panagos P, 2018, LAND DEGRAD DEV, V29, P471, DOI 10.1002/ldr.2879; Pearson AL, 2014, BUILD RES INF, V42, P182, DOI 10.1080/09613218.2014.850603; Perez C, 2015, GLOBAL ENVIRON CHANG, V34, P95, DOI 10.1016/j.gloenvcha.2015.06.003; Perez-Guzman L, 2020, APPL SOIL ECOL, V149, DOI 10.1016/j.apsoil.2019.103487; Perfecto I, 2004, ECOLOGY, V85, P2677, DOI 10.1890/03-3145; Peters K, 2014, AGRON SUSTAIN DEV, V34, P707, DOI 10.1007/s13593-014-0245-2; Peterson CA, 2018, AGR SYST, V162, P19, DOI 10.1016/j.agsy.2018.01.011; Power A. G., 2013, ENCY BIODIVERS, V3, P9; Pretty J, 2008, PHILOS T R SOC B, V363, P447, DOI 10.1098/rstb.2007.2163; Quan J., 2008, CLIMATE CHANGE LAND; Raes D, 2021, AGR FOREST METEOROL, V308, DOI 10.1016/j.agrformet.2021.108563; Ramesh K, 2017, FRONT PLANT SCI, V8, DOI 10.3389/fpls.2017.00095; Ramilan T, 2022, AGRICULTURE-BASEL, V12, DOI 10.3390/agriculture12040466; Rao KPC, 2011, EXP AGR, V47, P267, DOI 10.1017/S0014479710000918; Raufflet E., 2000, CONSERV ECOL, V4, P5; Reid A, 2019, ENVIRON EDUC RES, V25, P767, DOI 10.1080/13504622.2019.1664075; Reidsma P, 2010, EUR J AGRON, V32, P91, DOI 10.1016/j.eja.2009.06.003; Roco L, 2014, ENVIRON SCI POLICY, V44, P86, DOI 10.1016/j.envsci.2014.07.008; Rose Norton., FULBRIGHT FAMILY AGR; Sambodo MT, 2019, ENERG POLICY, V132, P113, DOI 10.1016/j.enpol.2019.05.029; Sancho F., 2005, Agronomia Costarricense, V29, P159; Santistevan-Mendez M., 2018, PERUV J AGRON, V2, P44, DOI [10.21704/pja.v2i3.1210, DOI 10.21704/PJA.V2I3.1210]; Saqib M., 2022, BUILDING CLIMATE RES, P95; Sarker J.R., 2021, ROLE CULTURAL NUTR M, V166; Sarker MNI, 2020, LAND USE POLICY, V95, DOI 10.1016/j.landusepol.2020.104599; Scott JK, 2014, WEEDS CLIMATE CHANGE; Shehzad M., 2022, BUILDING CLIMATE RES, P67; Simane B, 2012, INT J ENV RES PUB HE, V9, P610, DOI 10.3390/ijerph9020610; Singh RP, 2013, ADV AGRON, V118, P49, DOI 10.1016/B978-0-12-405942-9.00002-5; Skoufias E., 2012, POVERTY WELFARE IMPA; Speranza CI, 2014, GLOBAL ENVIRON CHANG, V28, P109, DOI 10.1016/j.gloenvcha.2014.06.005; Stathers T, 2020, NAT SUSTAIN, V3, P821, DOI 10.1038/s41893-020-00622-1; Suarez-Pardo A, 2022, WEATHER CLIM SOC, V14, P425, DOI 10.1175/WCAS-D-21-0023.1; Suh NN, 2022, J AGR FOOD RES, V8, DOI 10.1016/j.jafr.2022.100282; SWIFT MJ, 1993, ECOL STU AN, V99, P15; Sy SA, 2022, ENERGY RES SOC SCI, V89, DOI 10.1016/j.erss.2022.102562; Talukder B, 2020, ENVIRON SUSTAIN IND, V6, DOI 10.1016/j.indic.2020.100038; Ullah A, 2020, AGRICULTURE-BASEL, V10, DOI 10.3390/agriculture10120586; UNEP, 2019, GLOB ENV OUTL GEO 6; Urruty N, 2016, AGRON SUSTAIN DEV, V36, DOI 10.1007/s13593-015-0347-5; van Apeldoorn DF, 2011, ECOL SOC, V16; Van Cauwenbergh N, 2007, AGR ECOSYST ENVIRON, V120, P229, DOI 10.1016/j.agee.2006.09.006; Varallyay G, 2010, AGRON RES, V8, P385; Vazquez L., 2019, AGROECOLOGICAL TRANS; Verburg R, 2019, ENVIRON SCI POLICY, V97, P16, DOI 10.1016/j.envsci.2019.03.017; Vesco P, 2021, J PEACE RES, V58, P98, DOI 10.1177/0022343320971020; Vila M, 2021, ENVIRON RES LETT, V16, DOI 10.1088/1748-9326/abe14b; Wada Y, 2011, HYDROL EARTH SYST SC, V15, P3785, DOI 10.5194/hess-15-3785-2011; Walker B, 2004, ECOL SOC, V9; Walker B., 2012, RESILIENCE THINKING; Washington-Ottombre C, 2013, REG ENVIRON CHANGE, V13, P537, DOI 10.1007/s10113-012-0343-0; Wilbanks F., 2014, CLIMATE RESILIENT PA; World Health Organization Department for International Development (DFID), 2009, RES WAT SUPPL SAN FA; World Meteorological Organization-WMO, 2016, CLIM SERV SUPP CLIM; Wossen T, 2018, AGR SYST, V163, P7, DOI 10.1016/j.agsy.2017.02.006; Yao SB, 2010, ENVIRON MANAGE, V45, P541, DOI 10.1007/s00267-009-9416-3; Zaman M., 2018, IRRIGATION WATER QUA, P113, DOI [DOI 10.1007/978-3-319-96190-3_5, 10.1007/978-3-319-96190-3_5]; Zampieri M, 2020, SCI TOTAL ENVIRON, V735, DOI 10.1016/j.scitotenv.2020.139378; Zawalinska K, 2022, SUSTAIN SCI, V17, P81, DOI 10.1007/s11625-021-01047-1; Zhang ZY, 2015, SUSTAINABILITY-BASEL, V7, P14309, DOI 10.3390/su71014309; Zolnikov T, 2019, GLOBAL ADAPTATION RE; Zong XZ, 2022, ECOL INDIC, V136, DOI 10.1016/j.ecolind.2022.108597</t>
  </si>
  <si>
    <t>10.3390/su14148588</t>
  </si>
  <si>
    <t>3J2MQ</t>
  </si>
  <si>
    <t>WOS:000833234900001</t>
  </si>
  <si>
    <t>Velez-Guerrero, MA; Callejas-Cuervo, M; Alvarez, JC; Mazzoleni, S</t>
  </si>
  <si>
    <t>Velez-Guerrero, Manuel Andres; Callejas-Cuervo, Mauro; Alvarez, Juan C.; Mazzoleni, Stefano</t>
  </si>
  <si>
    <t>Assessment of the Mechanical Support Characteristics of a Light and Wearable Robotic Exoskeleton Prototype Applied to Upper Limb Rehabilitation</t>
  </si>
  <si>
    <t>robotic exoskeletons; soft materials; wearable devices; upper limbs; rehabilitation; device testing; mechanical support; optical tracking; optical motion capture</t>
  </si>
  <si>
    <t>QUANTIFICATION; MOTION; MATE</t>
  </si>
  <si>
    <t>Robotic exoskeletons are active devices that assist or counteract the movements of the body limbs in a variety of tasks, including in industrial environments or rehabilitation processes. With the introduction of textile and soft materials in these devices, the effective motion transmission, mechanical support of the limbs, and resistance to physical disturbances are some of the most desirable structural features. This paper proposes an evaluation protocol and assesses the mechanical support properties of a servo-controlled robotic exoskeleton prototype for rehabilitation in upper limbs. Since this prototype was built from soft materials, it is necessary to evaluate the mechanical behavior in the areas that support the arm. Some of the rehabilitation-supporting movements such as elbow flexion and extension, as well as increased muscle tone (spasticity), are emulated. Measurements are taken using the reference supplied to the system's control stage and then compared with an external high-precision optical tracking system. As a result, it is evidenced that the use of soft materials provides satisfactory outcomes in the motion transfer and support to the limb. In addition, this study lays the groundwork for a future assessment of the prototype in a controlled laboratory environment using human test subjects.</t>
  </si>
  <si>
    <t>[Velez-Guerrero, Manuel Andres; Callejas-Cuervo, Mauro] Univ Pedag &amp; Tecnol Colombia, Software Res Grp, Tunja 150002, Colombia; [Alvarez, Juan C.] Univ Oviedo, Dept Elect Elect Comp &amp; Syst Engn, Multisensor Syst &amp; Robot Grp SiMuR, Gijon 33203, Spain; [Mazzoleni, Stefano] Polytech Univ Bari, Dept Elect &amp; Informat Engn, I-70126 Bari, Italy</t>
  </si>
  <si>
    <t>Universidad Pedagogica y Tecnologica de Colombia (UPTC); University of Oviedo; Politecnico di Bari</t>
  </si>
  <si>
    <t>Velez-Guerrero, MA (corresponding author), Univ Pedag &amp; Tecnol Colombia, Software Res Grp, Tunja 150002, Colombia.</t>
  </si>
  <si>
    <t>manuel.velez@uptc.edu.co; mauro.callejas@uptc.edu.co; juan@uniovi.es; stefano.mazzoleni@poliba.it</t>
  </si>
  <si>
    <t>Alvarez Alvarez, Juan Carlos/G-5910-2011; Mazzoleni, Stefano/B-5875-2011; Callejas Cuervo, Mauro/Q-6848-2019</t>
  </si>
  <si>
    <t>Alvarez Alvarez, Juan Carlos/0000-0002-8910-4855; Velez-Guerrero, Manuel Andres/0000-0002-2105-1742; Mazzoleni, Stefano/0000-0002-9528-3239; Callejas Cuervo, Mauro/0000-0001-9894-8737</t>
  </si>
  <si>
    <t>Universidad Pedagogica y Tecnologica de Colombia [SGI 3161]</t>
  </si>
  <si>
    <t>This research was funded by Universidad Pedagogica y Tecnologica de Colombia (project number SGI 3161) and the APC was funded by the same institution.</t>
  </si>
  <si>
    <t>Alguacil-Diego IM, 2021, SENSORS-BASEL, V21, DOI 10.3390/s21217342; Bai S., 2018, WEARABLE EXOSKELETON; Baniqued P.D.E., 2015, P 2015 INT C HUMANOI; Bessler J, 2021, FRONT ROBOT AI, V8, DOI 10.3389/frobt.2021.602878; Bi SL, 2021, SENSORS-BASEL, V21, DOI 10.3390/s21072528; Alarcon-Aldana AC, 2020, SENSORS-BASEL, V20, DOI 10.3390/s20215989; Ceseracciu E, 2014, PLOS ONE, V9, DOI 10.1371/journal.pone.0087640; Choi H, 2018, SENSORS-BASEL, V18, DOI 10.3390/s18020566; Colyer SL, 2018, SPORTS MED-OPEN, V4, DOI 10.1186/s40798-018-0139-y; de Leva P, 1996, J BIOMECH, V29, P1223, DOI 10.1016/0021-9290(95)00178-6; De Momi E., 2020, WEARABLE TECHNOL, P1, DOI [10.1017/wtc.2020.7, DOI 10.1017/WTC.2020.7]; Sanchez-Villamanan MD, 2019, J NEUROENG REHABIL, V16, DOI 10.1186/s12984-019-0517-9; Dudzik S, 2020, ENERGIES, V13, DOI 10.3390/en13236437; Farzaneh M.M., 2021, INT J SCI TECH RES E, V6, P10; Gopura R. A. R. C., 2011, 2011 IEEE 6th International Conference on Industrial and Information Systems (ICIIS 2011), P346, DOI 10.1109/ICIINFS.2011.6038092; Gull MA, 2020, ROBOTICS, V9, DOI 10.3390/robotics9010016; He TYY, 2021, IEEE OPEN J CIRCUITS, V2, P702, DOI 10.1109/OJCAS.2021.3123272; Huysamen K, 2018, APPL ERGON, V70, P148, DOI 10.1016/j.apergo.2018.02.009; Ilami M, 2021, ADV MATER, V33, DOI 10.1002/adma.202003139; Jain A., 2020, INT ROBOT ANTON J, V6, P99, DOI DOI 10.15406/IRATJ.2020.06.00207; KATZ RT, 1992, ARCH PHYS MED REHAB, V73, P339, DOI 10.1016/0003-9993(92)90007-J; Khan MA, 2021, J NEURAL ENG, V18, DOI 10.1088/1741-2552/ac36aa; Lee DJ, 2017, INT C REHAB ROBOT, P622, DOI 10.1109/ICORR.2017.8009317; Lee S, 2018, IEEE INT CONF ROBOT, P2812; Li X, 2021, APPL BIONICS BIOMECH, V2021, DOI 10.1155/2021/5513013; Samper-Escudero JL, 2020, PROCEEDINGS OF THE 2020 IEEE INTERNATIONAL CONFERENCE ON HUMAN-MACHINE SYSTEMS (ICHMS), P302; Vatan HMF, 2021, J INTELL ROBOT SYST, V102, DOI 10.1007/s10846-021-01353-x; Martinez-Hernandez U, 2021, SENSORS-BASEL, V21, DOI 10.3390/s21206751; McGibbon C.A., 2016, PHYS MED REHABIL RES, V1, P1, DOI [10.15761/PMRR.1000129, DOI 10.15761/PMRR.1000129]; Nagymate G., 2018, RECENT INNOV MECHATR, V5, P1; O'Neill CT, 2022, SOFT ROBOT, V9, P163, DOI 10.1089/soro.2020.0064; O'Sullivan L, 2015, PROCEDIA MANUF, V3, P1418, DOI 10.1016/j.promfg.2015.07.306; OptiTrack, OPTITRACKMOTION CAPT; Pacifico I, 2020, IEEE ROBOT AUTOM MAG, V27, P54, DOI 10.1109/MRA.2019.2954105; Pasinetti S, 2020, SENSORS-BASEL, V20, DOI 10.3390/s20143899; Vidal AFP, 2021, ACTUATORS, V10, DOI 10.3390/act10070166; Pina-Martinez E, 2018, APPL BIONICS BIOMECH, V2018, DOI 10.1155/2018/6019381; PLAGENHOEF S, 1983, RES Q EXERCISE SPORT, V54, P169, DOI 10.1080/02701367.1983.10605290; Planas-Lana A. E., 2022, BIOSYST BIOROBOTICS, V27, P577, DOI [10.1007/978-3-030-69547-7, DOI 10.1007/978-3-030-69547-7]; Qassim HM, 2020, APPL SCI-BASEL, V10, DOI 10.3390/app10196976; Ruiz-Olaya A., 2019, HDB BIOMECHATRONICS; Samper-Escudero J. L., P 2021 IEEE INT CONT, V2021, P2021, DOI [10.1109/ICHMS53169.2021.9582447, DOI 10.1109/ICHMS53169.2021.9582447]; Schmit BD, 1999, ANN BIOMED ENG, V27, P815, DOI 10.1114/1.234; Seth D., 2019, DIGITAL HUMAN MODELI; Shahid T, 2018, BIOMIMETICS-BASEL, V3, DOI 10.3390/biomimetics3030017; Sorriento A, 2020, IEEE REV BIOMED ENG, V13, P212, DOI 10.1109/RBME.2019.2939091; Steinhilber B, 2020, IISE T OCCUP ERG HUM, V8, P132, DOI 10.1080/24725838.2020.1844344; Stewart AM, 2017, IFAC PAPERSONLINE, V50, P15169, DOI 10.1016/j.ifacol.2017.08.2266; Sui DB, 2017, IEEE ASME INT C ADV, P845, DOI 10.1109/AIM.2017.8014123; Tiboni M, 2022, SENSORS-BASEL, V22, DOI 10.3390/s22030884; van der Kruk E, 2018, EUR J SPORT SCI, V18, P806, DOI 10.1080/17461391.2018.1463397; Velez-Guerrero MA, 2021, SENSORS-BASEL, V21, DOI 10.3390/s21227720; Velez-Guerrero MA, 2021, SENSORS-BASEL, V21, DOI 10.3390/s21165411; Velez-Guerrero MA, 2021, SENSORS-BASEL, V21, DOI 10.3390/s21062146; Walpole SC, 2012, BMC PUBLIC HEALTH, V12, DOI 10.1186/1471-2458-12-439; Wei W, 2018, APPL BIONICS BIOMECH, V2018, DOI 10.1155/2018/1925694; Wu YN, 2018, FRONT NEUROL, V9, DOI 10.3389/fneur.2018.00863; Yahya M, 2019, SENSOR REV, V39, P504, DOI 10.1108/SR-10-2018-0270; Zhu ML, 2021, NAT COMMUN, V12, DOI 10.1038/s41467-021-23020-3</t>
  </si>
  <si>
    <t>10.3390/s22113999</t>
  </si>
  <si>
    <t>1Z6RV</t>
  </si>
  <si>
    <t>WOS:000808950000001</t>
  </si>
  <si>
    <t>Salinas-Torres, A; Portilla, J; Rojas, H; Becerra, D; Castillo, JC</t>
  </si>
  <si>
    <t>Salinas-Torres, Angelica; Portilla, Jaime; Rojas, Hugo; Becerra, Diana; Castillo, Juan-Carlos</t>
  </si>
  <si>
    <t>Synthesis, Spectroscopic Analysis, and In Vitro Anticancer Evaluation of 2-(Phenylsulfonyl)-2H-1,2,3-triazole</t>
  </si>
  <si>
    <t>MOLBANK</t>
  </si>
  <si>
    <t>1,2,3-triazole; sulfonamidation; S-N bond formation; sulfonamide; cancer</t>
  </si>
  <si>
    <t>BIOLOGICAL EVALUATION; MOLECULAR-STRUCTURE; SPECTRA; 1H-1,2,3-TRIAZOLE; 1,2,3-TRIAZOLES; TAUTOMERISM; VIBRATIONS; CONVERSION; TRIAZOLES; KINETICS</t>
  </si>
  <si>
    <t>The 1,2,3-Triazole derivatives containing the sulfonyl group have proved their biological importance in medicinal chemistry and drug design. In this sense, we describe the regioselective synthesis of 2-(phenylsulfonyl)-2H-1,2,3-triazole 3 in good yield through a classical sulfonamidation reaction of 1H-1,2,3-triazole 1 with benzenesulfonyl chloride 2 in dichloromethane using a slight excess of triethylamine at 20 degrees C for 3 h. This procedure is distinguished by its short reaction time, high yield, excellent regioselectivity, clean reaction profile, and operational simplicity. The sulfonamide 3 was characterized by high-resolution mass spectrometry, FT-IR, UV-Vis, 1D and 2D NMR spectroscopy, and elemental analysis. The sulfonamide 3 exhibited moderate activity against UO-31 renal, SNB-75 central nervous system, HCT-116 colon, and BT-549 breast cancer cell lines, with growth inhibition percentages (GI%) ranging from 10.83% to 17.64%.</t>
  </si>
  <si>
    <t>[Salinas-Torres, Angelica; Rojas, Hugo; Becerra, Diana; Castillo, Juan-Carlos] Univ Pedag &amp; Tecnol Colombia, Fac Ciencias, Escuela Ciencias Quim, Grp Catalisis UPTC, Ave Cent Norte 39-115, Tunja 150003, Colombia; [Portilla, Jaime; Castillo, Juan-Carlos] Univ Los Andes, Dept Chem, Bioorgan Cpds Res Grp, Carrera 1 18A-10, Bogota 111711, Colombia</t>
  </si>
  <si>
    <t>Universidad Pedagogica y Tecnologica de Colombia (UPTC); Universidad de los Andes (Colombia)</t>
  </si>
  <si>
    <t>Becerra, D; Castillo, JC (corresponding author), Univ Pedag &amp; Tecnol Colombia, Fac Ciencias, Escuela Ciencias Quim, Grp Catalisis UPTC, Ave Cent Norte 39-115, Tunja 150003, Colombia.;Castillo, JC (corresponding author), Univ Los Andes, Dept Chem, Bioorgan Cpds Res Grp, Carrera 1 18A-10, Bogota 111711, Colombia.</t>
  </si>
  <si>
    <t>angelica.salinas@uptc.edu.co; jportill@uniandes.edu.co; hugo.rojas@uptc.edu.co; diana.becerra08@uptc.edu.co; juan.castillo06@uptc.edu.co</t>
  </si>
  <si>
    <t>Becerra, Diana/ABB-6940-2020; Millán, Juan Castillo/AAM-5433-2020</t>
  </si>
  <si>
    <t>Becerra, Diana/0000-0001-5805-7454; Millán, Juan Castillo/0000-0002-6060-2578</t>
  </si>
  <si>
    <t>Direccion de Investigaciones at the Universidad Pedagogica y Tecnologica de Colombia [SGI-3312]; Facultad de Ciencias at the Universidad de los Andes [INV-2019-84-1800]</t>
  </si>
  <si>
    <t>Direccion de Investigaciones at the Universidad Pedagogica y Tecnologica de Colombia; Facultad de Ciencias at the Universidad de los Andes</t>
  </si>
  <si>
    <t>The authors thank Universidad Pedagogica y Tecnologica de Colombia and Universidad de los Andes. A.S.-T., H.R., D.B. and J.-C.C. acknowledge the Direccion de Investigaciones at the Universidad Pedagogica y Tecnologica de Colombia (Project SGI-3312). J.P. thanks support from the Facultad de Ciencias at the Universidad de los Andes (Project INV-2019-84-1800). We are grateful to the National Cancer Institute (NCI, USA) for performing the anticancer evaluation of compound &lt;BOLD&gt;3&lt;/BOLD&gt;.</t>
  </si>
  <si>
    <t>Bahrami K, 2009, J ORG CHEM, V74, P9287, DOI 10.1021/jo901924m; BEGTRUP M, 1988, ACTA CHEM SCAND A, V42, P500, DOI 10.3891/acta.chem.scand.42a-0500; Billes F, 2000, J MOL STRUC-THEOCHEM, V530, P183, DOI 10.1016/S0166-1280(00)00340-7; Bozorov K, 2019, BIOORGAN MED CHEM, V27, P3511, DOI 10.1016/j.bmc.2019.07.005; Bryce D. L., 2014, SPECTROMETRIC IDENTI; Castillo JC, 2020, ACS OMEGA, V5, P30148, DOI 10.1021/acsomega.0c04592; Castillo JC, 2018, TETRAHEDRON, V74, P932, DOI 10.1016/j.tet.2017.12.049; CATALAN J, 1989, J COMPUT CHEM, V10, P426, DOI 10.1002/jcc.540100318; Chen YD, 2018, J AM CHEM SOC, V140, P8781, DOI 10.1021/jacs.8b04532; Dheer D, 2017, BIOORG CHEM, V71, P30, DOI 10.1016/j.bioorg.2017.01.010; Elejalde NR, 2018, CHEMISTRYSELECT, V3, P5220, DOI 10.1002/slct.201801238; Gokce H, 2022, MOLECULES, V27, DOI 10.3390/molecules27072193; Insuasty B, 2013, EUR J MED CHEM, V67, P252, DOI 10.1016/j.ejmech.2013.06.049; Jie K, 2018, J SULFUR CHEM, V39, P465, DOI 10.1080/17415993.2018.1480725; Katritzky AR, 1998, CHEM REV, V98, P409, DOI 10.1021/cr941170v; Keith JM, 2010, J ORG CHEM, V75, P2722, DOI 10.1021/jo1001017; King GA, 2010, J CHEM PHYS, V132, DOI 10.1063/1.3292644; KUDCHADK.SA, 1973, INDIAN J CHEM, V11, P140; Kumar S, 2021, EUR J MED CHEM, V212, DOI 10.1016/j.ejmech.2020.113069; Kumari S, 2020, J MED CHEM, V63, P12290, DOI 10.1021/acs.jmedchem.0c00530; Laudadio G, 2019, J AM CHEM SOC, V141, P5664, DOI 10.1021/jacs.9b02266; Liang T, 2021, FRONT PHARMACOL, V12, DOI 10.3389/fphar.2021.661173; LUNAZZI L, 1984, J CHEM SOC PERK T 2, P1025, DOI 10.1039/p29840001025; Madadi NR, 2015, EUR J MED CHEM, V103, P123, DOI 10.1016/j.ejmech.2015.08.041; Mareddy J, 2017, BIOORG MED CHEM LETT, V27, P518, DOI 10.1016/j.bmcl.2016.12.030; Matin MM, 2022, FRONT MOL BIOSCI, V9, DOI 10.3389/fmolb.2022.864286; Moreno-Fuquen R, 2019, ACTA CRYSTALLOGR C, V75, P359, DOI 10.1107/S2053229619002572; Nasri S, 2022, MOL DIVERS, V26, P717, DOI 10.1007/s11030-021-10197-4; Penthala NR, 2015, MEDCHEMCOMM, V6, P1535, DOI 10.1039/c5md00219b; Pinheiro S, 2020, BIOORG MED CHEM LETT, V30, DOI 10.1016/j.bmcl.2020.127454; Sambathkumar K, 2020, INDIAN J PURE AP PHY, V58, P589; Samir B, 2019, RSC ADV, V9, P27361, DOI 10.1039/c9ra04235k; Serrano-Sterling C, 2021, J MOL STRUCT, V1244, DOI 10.1016/j.molstruc.2021.130944; Sohrabnezhad S, 2019, J SULFUR CHEM, V40, P256, DOI 10.1080/17415993.2019.1570196; Swaroop DK, 2018, CHEMISTRYSELECT, V3, P2398, DOI 10.1002/slct.201800072; TORNKVIST C, 1991, J PHYS CHEM-US, V95, P3123, DOI 10.1021/j100161a031; Xu Z, 2019, EUR J MED CHEM, V183, DOI 10.1016/j.ejmech.2019.111700; Yamauchi M, 2010, HETEROCYCLES, V80, P177, DOI 10.3987/COM-09-S(S)44</t>
  </si>
  <si>
    <t>1422-8599</t>
  </si>
  <si>
    <t>Molbank</t>
  </si>
  <si>
    <t>M1387</t>
  </si>
  <si>
    <t>10.3390/M1387</t>
  </si>
  <si>
    <t>Chemistry, Organic</t>
  </si>
  <si>
    <t>2N5QY</t>
  </si>
  <si>
    <t>WOS:000818434400001</t>
  </si>
  <si>
    <t>Recycling of zinc and lead from electric arc furnace dust by selective leaching with EDTA</t>
  </si>
  <si>
    <t>CANADIAN METALLURGICAL QUARTERLY</t>
  </si>
  <si>
    <t>Hydrometallurgy; selective-leaching; EAFD; lead; zinc; EDTA</t>
  </si>
  <si>
    <t>RECOVERY; COPPER; EAFD; IRON; PB; WASTE; SOIL; ZN</t>
  </si>
  <si>
    <t>Electric Arc Furnace Dust (EAFD) is a potential source of contamination, primarily by the non- ferrous metals as it may contain (Zn, Pb). It is known that steel processing companies make efforts to reuse EAFD, however, today, the implementation of the most common hydrometallurgical methods is considered to be harmful and corrosive. In that sense, a more ecological and efficient technique for the management of this industrial waste is proposed here. The technique consists in the use of an organic solution of ethylenediaminetetraacetic acid (EDTA) at moderate conditions (room temperature, 0.5 M maximum concentration and 2 h of operation) for zinc and lead extraction. To leach metals using EDTA at pH 3 and 6 is possible and favourable. The presence of ZnFe2O4 did not allow leaching of the total zinc present in EAFD, while the rapid dissolution of PbO allowed more than 95% lead extraction.</t>
  </si>
  <si>
    <t>[Borda, Johana; Torres, Robinson] Univ Pedagog &amp; Tecnol Colombia, Escuela Metalurgia, Fac Ingn, Ave Cent Norte Km 4,Edif Ingn 201, Tunja, Colombia</t>
  </si>
  <si>
    <t>Borda, J (corresponding author), Univ Pedagog &amp; Tecnol Colombia, Escuela Metalurgia, Fac Ingn, Ave Cent Norte Km 4,Edif Ingn 201, Tunja, Colombia.</t>
  </si>
  <si>
    <t>VIE -SGI project</t>
  </si>
  <si>
    <t>The authors are grateful for the support received from the VIE -SGI project to carry out this research, as well as the Grupo Metalurgia No Ferrosa of the Universidad Pedagogica y Tecnologica de Colombia UPTC</t>
  </si>
  <si>
    <t>Al-Harahsheh M, 2017, J ANAL APPL PYROL, V128, P168, DOI 10.1016/j.jaap.2017.10.013; Al-Makhadmeh LA, 2018, WATER AIR SOIL POLL, V229, DOI 10.1007/s11270-018-3694-4; Altarawneh M, 2021, APPL SURF SCI, V562, DOI 10.1016/j.apsusc.2021.150105; Arellano J., 2013, SALUD TRABAJO SEGURI; Avery HE., 1974, BASIC REACTION KINET, DOI 10.1007/978-1-349-15520-0; Borda J, 2022, REV MEX ING QUIM, V21, DOI 10.24275/rmiq/Cat2606; Borda J, 2021, REV MEX ING QUIM, V20, P389, DOI 10.24275/rmiq/IA2022; Brehm FA, 2017, CONSTR BUILD MATER, V139, P172, DOI 10.1016/j.conbuildmat.2017.02.026; Bruckard WJ, 2005, INT J MINER PROCESS, V75, P1, DOI 10.1016/j.minpro.2004.04.007; Burkin AR., 2001, CHEM HYDROMETALLURGY, P174; Camci Ladin, 2002, Turkish Journal of Engineering and Environmental Sciences, V26, P37; Castells X., 2009, RECICLAJE RESIDUOS I, P117; De La Torre E., 2013, REV POLITECNICA, V32, P51; de Vargas AS, 2006, CEMENT CONCRETE RES, V36, P1833, DOI 10.1016/j.cemconres.2006.06.003; Delvasto P, 2011, DYNA-COLOMBIA, V78, P221; Dutra AJB, 2006, MINER ENG, V19, P478, DOI 10.1016/j.mineng.2005.08.013; ELLIOTT HA, 1989, WATER AIR SOIL POLL, V45, P361; ERIKSSON G, 1979, ANAL CHIM ACTA-COMP, V3, P375; Fan YY, 2021, CAN METALL QUART, V60, P150, DOI 10.1080/00084433.2021.1996896; Fernandez, 2014, SCYKNES; Gabos MB, 2009, SCI AGR, V66, P506, DOI 10.1590/S0103-90162009000400012; Guezennec AG, 2005, POWDER TECHNOL, V157, P2, DOI 10.1016/j.powtec.2005.05.006; Guo XY, 2016, T NONFERR METAL SOC, V26, P575, DOI 10.1016/S1003-6326(16)64118-3; HAGNI AM, 1991, JOM-J MIN MET MAT S, V43, P28; Kul M, 2015, T NONFERR METAL SOC, V25, P2753, DOI 10.1016/S1003-6326(15)63900-0; Langova S, 2010, HYDROMETALLURGY, V101, P171, DOI 10.1016/j.hydromet.2010.01.003; Leuchtenmueller M, 2021, METALL MATER TRANS B, V52, P548, DOI 10.1007/s11663-020-02047-9; LEVENSPIEL O, 1999, CHEM REACTION ENG; Lozano-Lunar A, 2019, J CLEAN PROD, V219, P818, DOI 10.1016/j.jclepro.2019.02.145; Montenegro V, 2013, METALL MATER TRANS B, V44, P1058, DOI 10.1007/s11663-013-9874-0; Nagib S, 2000, HYDROMETALLURGY, V56, P269, DOI 10.1016/S0304-386X(00)00073-6; NIST, 2004, NIST STANDARD REFERE; Noval VE, 2017, REV COLOMB QUIM, V46, P42, DOI 10.15446/rev.colomb.quim.v46n1.62831; Pociecha M, 2012, CHEMOSPHERE, V86, P843, DOI 10.1016/j.chemosphere.2011.11.004; Poma Pedro A, 2008, An. Fac. med., V69, P120; Puigdomenech I, 2004, HYDRA HYDROCHEMICAL; Rojas Reyes Néstor Ricardo, 2018, Ing. Desarro., V36, P155, DOI 10.14482/inde.36.1.10944; Silva VS, 2019, J MATER RES TECHNOL, V8, P5504, DOI 10.1016/j.jmrt.2019.09.018; Simonyan LM, 2019, J MATER RES TECHNOL, V8, P1601, DOI 10.1016/j.jmrt.2018.11.005; Smaniotto A, 2009, J HAZARD MATER, V172, P1677, DOI 10.1016/j.jhazmat.2009.07.026; Smith J.M., 1970, CHEM ENG KINETICS, V2nd; Torres R, 2018, WASTE MANAGE, V71, P420, DOI 10.1016/j.wasman.2017.10.029; Torres R, 2017, WASTE MANAGE, V60, P561, DOI 10.1016/j.wasman.2016.12.001; Vergara AP., 2014, THESIS U NACL COLOMB; Wai Lin Shui, 2006, J. Mex. Chem. Soc, V50, P64; de Buzin PJWK, 2017, J MATER RES TECHNOL, V6, P194, DOI 10.1016/j.jmrt.2016.10.002; YU JZ, 1994, WATER AIR SOIL POLL, V75, P205, DOI 10.1007/BF00482938; Zhang DC, 2019, J CLEAN PROD, V224, P536, DOI 10.1016/j.jclepro.2019.03.149; Zhang YC, 2014, HYDROMETALLURGY, V146, P59, DOI 10.1016/j.hydromet.2014.03.006</t>
  </si>
  <si>
    <t>TAYLOR &amp; FRANCIS LTD</t>
  </si>
  <si>
    <t>ABINGDON</t>
  </si>
  <si>
    <t>2-4 PARK SQUARE, MILTON PARK, ABINGDON OR14 4RN, OXON, ENGLAND</t>
  </si>
  <si>
    <t>0008-4433</t>
  </si>
  <si>
    <t>1879-1395</t>
  </si>
  <si>
    <t>CAN METALL QUART</t>
  </si>
  <si>
    <t>Can. Metall. Q.</t>
  </si>
  <si>
    <t>OCT 2</t>
  </si>
  <si>
    <t>10.1080/00084433.2022.2046902</t>
  </si>
  <si>
    <t>Metallurgy &amp; Metallurgical Engineering</t>
  </si>
  <si>
    <t>5A7GN</t>
  </si>
  <si>
    <t>WOS:000766118600001</t>
  </si>
  <si>
    <t>Castillo, JC; Martinez, JJ; Becerra, D; Rojas, H; Macias, MA</t>
  </si>
  <si>
    <t>Castillo, Juan -Carlos; Martinez, Jose J.; Becerra, Diana; Rojas, Hugo; Macias, Mario A.</t>
  </si>
  <si>
    <t>Obtaining (5-formylfuran-2-yl)methyl 4-chlorobenzoate through an esterification of 5-hydroxymethylfurfural: Interesting achiral molecule crystallizing in a Sohncke P 2 1 2 1 2 1 space group</t>
  </si>
  <si>
    <t>JOURNAL OF MOLECULAR STRUCTURE</t>
  </si>
  <si>
    <t>5-hydroxymethylfurfural (5-HMF); Esterification; Biomass conversion; Hirshfeld surface maps; Energy frameworks; Sohncke space group</t>
  </si>
  <si>
    <t>BIOLOGICAL EVALUATION; BIOMASS; ESTERS; ACID; HMF; CONVERSION; DECARBONYLATION; DERIVATIVES; OXIDATION</t>
  </si>
  <si>
    <t>We report the catalyst-free synthesis of (5-formylfuran-2-yl)methyl 4-chlorobenzoate in 71% yield by an O -acylation reaction of 5-hydroxymethylfurfural with 4-chlorobenzoyl chloride using a slight excess of triethylamine in dichloromethane at 20 degrees C for 24 h. The structure of the 5-HMF aryl ester was characterized by FT-IR, UV-Vis, 1D and 2D NMR spectroscopy, mass spectrometry, and differential scanning calorimetry (DSC). This compound was recrystallized from methanol at ambient temperature under normal pressure conditions. X-Ray diffraction analyses show that achiral 5-HMF aryl ester crystallizes in a Sohncke P 2 1 2 1 2 1 space group, which could be related to a potential nonlinear optic property from inexpensive and readily abundant biomass sources. In the supramolecular structure, short hydrogen bonds were detected. However, computed CE-B3LYP (kJ/mol) intermolecular interaction energies indicate that the growth of the crystal is preferentially driven by dispersion forces. (c) 2022 Elsevier B.V. All rights reserved.</t>
  </si>
  <si>
    <t>[Castillo, Juan -Carlos; Martinez, Jose J.; Becerra, Diana; Rojas, Hugo] Univ Pedag &amp; Tecnol Colombia, Escuela Ciencias Quim, Ave Cent Norte 39-115, Tunja 150003, Colombia; [Macias, Mario A.] Univ Andes, Dept Chem, Crystallog &amp; Chem Mat, CrisQuimMat, Carrera 1 18A-10, Bogota 111711, Colombia</t>
  </si>
  <si>
    <t>Castillo, JC (corresponding author), Univ Pedag &amp; Tecnol Colombia, Escuela Ciencias Quim, Ave Cent Norte 39-115, Tunja 150003, Colombia.;Macias, MA (corresponding author), Univ Andes, Dept Chem, Crystallog &amp; Chem Mat, CrisQuimMat, Carrera 1 18A-10, Bogota 111711, Colombia.</t>
  </si>
  <si>
    <t>juan.castillo06@uptc.edu.co; ma.maciasl@uniandes.edu.co</t>
  </si>
  <si>
    <t>Becerra, Diana/ABB-6940-2020; Macías, Mario Alberto/W-9716-2019; Millán, Juan Castillo/AAM-5433-2020; Martínez, José/G-1924-2018</t>
  </si>
  <si>
    <t>Becerra, Diana/0000-0001-5805-7454; Macías, Mario Alberto/0000-0003-2749-8489; Millán, Juan Castillo/0000-0002-6060-2578; Martínez, José/0000-0002-4906-7121</t>
  </si>
  <si>
    <t>Facultad de Ciencias at the Universidad de los Andes [FAPA-P18.160422.043]; Direccion de Investigaciones at the Universidad Pedagogica y Tecnologica de Colombia [SGI-3312]</t>
  </si>
  <si>
    <t>Facultad de Ciencias at the Universidad de los Andes; Direccion de Investigaciones at the Universidad Pedagogica y Tecnologica de Colombia</t>
  </si>
  <si>
    <t>The authors thank Universidad de los Andes and Universidad Pedagogica y Tecnologica de Colombia. M.A.M. acknowledges support from the Facultad de Ciencias at the Universidad de los Andes (project number FAPA-P18.160422.043). D.B., J.J.M., H.R. and J.-C.C. acknowledge to the Direccion de Investigaciones at the Universidad Pedagogica y Tecnologica de Colombia (project number SGI-3312). We also acknowledge Luis Hurtado and Carlos Rodriguez at the Universidad del Valle for acquiring 1D and 2D NMR spectra, electron ionization mass spectrum, and elemental analysis.</t>
  </si>
  <si>
    <t>Almeida SAAG, 2017, TRENDS FOOD SCI TECH, V69, P95, DOI 10.1016/j.tifs.2017.09.004; Avci D, 2019, APPL ORGANOMET CHEM, V33, DOI 10.1002/aoc.4725; Becerra D, 2021, MOLBANK, V2021, DOI 10.3390/M1279; Belousov AS, 2021, SUSTAIN ENERG FUELS, V5, P4512, DOI 10.1039/d1se00830g; Bryce D. L., 2014, SPECTROMETRIC IDENTI; Changmai B, 2020, IND CROP PROD, V145, DOI 10.1016/j.indcrop.2019.111911; Chatterjee M, 2018, GREEN CHEM, V20, P2345, DOI 10.1039/c8gc00174j; Chauhan AS, 2021, CHEM-EUR J, V27, P12971, DOI 10.1002/chem.202101827; Chen CL, 2021, J ENERGY CHEM, V54, P528, DOI 10.1016/j.jechem.2020.05.068; Chen SS, 2017, CHEM ENG J, V328, P246, DOI 10.1016/j.cej.2017.07.020; Chi CC, 2009, J WOOD CHEM TECHNOL, V29, P265, DOI 10.1080/02773810903096025; CILENTO G, 1953, J AM CHEM SOC, V75, P3748, DOI 10.1021/ja01111a041; Cuervo OHP, 2019, ENERGY TECHNOL-GER, V7, DOI 10.1002/ente.201900780; Daoui S, 2021, J MOL STRUCT, V1225, DOI 10.1016/j.molstruc.2020.129180; Esteves LM, 2020, FUEL, V270, DOI 10.1016/j.fuel.2020.117524; Geilen FMA, 2011, ANGEW CHEM INT EDIT, V50, P6831, DOI 10.1002/anie.201007582; Gruter G.J.M.G., 2010, Patent No. [US2010/0212218, 20100212218]; Hu X, 2017, CHEM COMMUN, V53, P2938, DOI 10.1039/c7cc01078h; Ilmi R, 2021, ORG ELECTRON, V96, DOI 10.1016/j.orgel.2021.106216; Insuasty D, 2020, MOLECULES, V25, DOI 10.3390/molecules25030505; Jayatilaka D, 2005, TONTO SYSTEM COMPUTA; Khan KM, 2003, TETRAHEDRON, V59, P5549, DOI 10.1016/S0040-4020(03)00812-3; Krystof M, 2013, CHEMSUSCHEM, V6, P630, DOI 10.1002/cssc.201200931; Lewkowski J, 2001, ARKIVOC, P17, DOI 10.3998/ark.5550190.0002.102; Li G, 2017, CHEMSUSCHEM, V10, P494, DOI 10.1002/cssc.201601322; Mackenzie CF, 2017, IUCRJ, V4, P575, DOI 10.1107/S205225251700848X; MACKINNEY G, 1948, J AM CHEM SOC, V70, P3586, DOI 10.1021/ja01191a013; Macrae CF, 2008, J APPL CRYSTALLOGR, V41, P466, DOI 10.1107/S0021889807067908; Martinez JJ, 2020, ASIAN J ORG CHEM, V9, P2184, DOI 10.1002/ajoc.202000406; Ning P, 2021, BIOTECHNOL BIOFUELS, V14, DOI 10.1186/s13068-021-01949-3; Nogueira CES, 2020, J MOL STRUCT, V1212, DOI 10.1016/j.molstruc.2020.128141; Palatinus L, 2007, J APPL CRYSTALLOGR, V40, P786, DOI 10.1107/S0021889807029238; Parlak C, 2020, SN APPL SCI, V2, DOI 10.1007/s42452-020-2935-5; Parsons S, 2013, ACTA CRYSTALLOGR B, V69, P249, DOI 10.1107/S2052519213010014; Pidcock E, 2005, CHEM COMMUN, P3457, DOI 10.1039/b505236j; Portilla-Zuniga OM, 2020, MOL CATAL, V494, DOI 10.1016/j.mcat.2020.111125; Qi XX, 2020, J CATAL, V381, P215, DOI 10.1016/j.jcat.2019.11.008; Quiroz-Florentino H, 2009, NAT PROD RES, V23, P1355, DOI 10.1080/14786410903040477; Rodriguez Alejandra, 2020, Ciencia en Desarrollo, V11, P63, DOI 10.19053/01217488.v11.n1.2020.10973; Sayer I, 2021, J MOL STRUCT, V1224, DOI 10.1016/j.molstruc.2020.129266; Serrano-Sterling C, 2021, J MOL STRUCT, V1244, DOI 10.1016/j.molstruc.2021.130944; Sheldrick GM, 2015, ACTA CRYSTALLOGR C, V71, P3, DOI [10.1107/S0108767307043930, 10.1107/S2053229614024218]; Socrates G., 2004, INFRARED RAMAN CHARA, DOI DOI 10.1007/S12161-014-9963-Y; Spackman MA, 2008, CRYSTENGCOMM, V10, P377, DOI 10.1039/b715227b; Spackman MA, 2009, CRYSTENGCOMM, V11, P19, DOI 10.1039/b818330a; Sugimura H, 2016, TETRAHEDRON, V72, P7638, DOI 10.1016/j.tet.2016.10.026; Sun C, 2013, HETEROCYCLES, V87, P1711, DOI 10.3987/COM-13-12730; Turner M.J., 2017, CRYSTALEXPLORER 17, V17; VANDERHEYDEN L, 1989, BER BUNSEN PHYS CHEM, V93, P1423, DOI 10.1002/bbpc.19890931206; Ventura M, 2016, CHEMSUSCHEM, V9, P1096, DOI 10.1002/cssc.201600060; Wang HY, 2019, RENEW SUST ENERG REV, V103, P227, DOI 10.1016/j.rser.2018.12.010; Wang ZY, 2022, INT J MOL SCI, V23, DOI 10.3390/ijms23041958; Xia XF, 2022, ORG BIOMOL CHEM, V20, P282, DOI [10.1039/d1ob01998h, 10.1039/D1OB01998H]; Xu GYG, 2017, MOL PHARMACEUT, V14, P3499, DOI 10.1021/acs.molpharmaceut.7b00553; Yu IKM, 2017, BIORESOURCE TECHNOL, V238, P716, DOI 10.1016/j.biortech.2017.04.026; Zaccheria F, 2020, CATAL SCI TECHNOL, V10, P7502, DOI 10.1039/d0cy01427c; Zhang XG, 2016, CHEM REV, V116, P12328, DOI 10.1021/acs.chemrev.6b00311; Zhang XY, 2020, J BIOTECHNOL, V307, P125, DOI 10.1016/j.jbiotec.2019.11.007; Zhou P, 2016, CATAL SCI TECHNOL, V6, P3694, DOI 10.1039/c6cy00384b; Zhuang JS, 2020, APPL SCI-BASEL, V10, DOI 10.3390/app10124345</t>
  </si>
  <si>
    <t>0022-2860</t>
  </si>
  <si>
    <t>1872-8014</t>
  </si>
  <si>
    <t>J MOL STRUCT</t>
  </si>
  <si>
    <t>J. Mol. Struct.</t>
  </si>
  <si>
    <t>NOV 15</t>
  </si>
  <si>
    <t>10.1016/j.molstruc.2022.133713</t>
  </si>
  <si>
    <t>Chemistry, Physical</t>
  </si>
  <si>
    <t>3H0AR</t>
  </si>
  <si>
    <t>WOS:000831707400002</t>
  </si>
  <si>
    <t>Coronado, ACM; Camargo, MAM; Coronado, YM</t>
  </si>
  <si>
    <t>Coronado, Ana Cruz Morillo; Camargo, Marta Antonia Marttnez; Coronado, Yacenia Morillo</t>
  </si>
  <si>
    <t>Genetic diversity pattern of Passiflora spp. in Boyac?, Colombia</t>
  </si>
  <si>
    <t>PESQUISA AGROPECUARIA BRASILEIRA</t>
  </si>
  <si>
    <t>germplasm; ISSR molecular markers; passion fruit; plant breeding; variability</t>
  </si>
  <si>
    <t>POPULATION; VARIABILITY; INDIVIDUALS; NUMBER</t>
  </si>
  <si>
    <t>The objective ofthis work was to characterize the genetic diversity, using ISSR markers, of 70 genotypes of five species of Passiflora spp. in Boyaca, Colombia. For molecular characterization, samples of young leaves were collected from 11 municipalities of the Boyaca department. Genetic similarity was used to cluster the genotypes by the UPGMA method, and genetic structure was evaluated by the Bayesian model. Eight ISSR primers produced 138 loci. The formed cluster consists of two populations, with most individuals of the same species but from different geographic origins. The percentage of polymorphic loci is higher than 80%. The average value of heterozygosity is between 0.29 and 0.36 for population I and II, respectively, and the values of polymorphic information content are low. A moderate genetic differentiation (0.16) and high gene flow (3.35) are observed.</t>
  </si>
  <si>
    <t>[Coronado, Ana Cruz Morillo; Camargo, Marta Antonia Marttnez] Univ Pedag &amp; Tecnol Colombia, Ave Cent Norte 39-115, Tunja, Boyaca, Colombia; [Coronado, Yacenia Morillo] Ctr Invest Palmira, Corp Colombiana Invest Agr, Cra 36 Cll 23, Valle Del Cauca 763531, Palmira, Colombia</t>
  </si>
  <si>
    <t>Universidad Pedagogica y Tecnologica de Colombia (UPTC); Corporacion Colombiana de Investigacion Agropecuaria, AGROSAVIA</t>
  </si>
  <si>
    <t>Coronado, ACM (corresponding author), Univ Pedag &amp; Tecnol Colombia, Ave Cent Norte 39-115, Tunja, Boyaca, Colombia.</t>
  </si>
  <si>
    <t>ana.morillo@uptc.edu.co; maria.martinez23@uptc.edu.co; ymorillo@agrosavia.co</t>
  </si>
  <si>
    <t>Boyaca department of Colombia; Research group Competitividad, Innovacion y Desarrollo Empresarial (CIDE); Universidad Pedagogica y Tecnologica de Colombia</t>
  </si>
  <si>
    <t>To the Passiflora producers from the Boyaca department of Colombia, to the research group Competitividad, Innovacion y Desarrollo Empresarial (CIDE), and to Universidad Pedagogica y Tecnologica de Colombia, for financial support.</t>
  </si>
  <si>
    <t>Abd El-Moneim D, 2021, PLANTS-BASEL, V10, DOI 10.3390/plants10122802; Aquino DS, 2019, PLANT ECOL, V220, P845, DOI 10.1007/s11258-019-00958-5; Bernal-Parra N, 2014, REV BRAS FRUTIC, V36, P586, DOI 10.1590/0100-2945-251/13; BOTSTEIN D, 1980, AM J HUM GENET, V32, P314; Ortiz DC, 2012, GENET RESOUR CROP EV, V59, P1089, DOI 10.1007/s10722-011-9745-y; Castaneda-Cardona CC, 2020, CHIL J AGR RES, V80, P608, DOI 10.4067/S0718-58392020000400608; Dellaporta S.L., 1983, PLANT MOL BIOL REP, V1, P19, DOI DOI 10.1007/BF02712670; Dias N. D. S. C., 2020, Multi-Science Journal, V3, P17, DOI 10.33837/msj.v3i3.1290; Earl DA, 2012, CONSERV GENET RESOUR, V4, P359, DOI 10.1007/s12686-011-9548-7; Evanno G, 2005, MOL ECOL, V14, P2611, DOI 10.1111/j.1365-294X.2005.02553.x; Fonseca-Trujillo Natalia, 2009, Univ. Sci., V14, P135; Ho VT, 2021, SABRAO J BREED GENET, V53, P1; Hubisz MJ, 2009, MOL ECOL RESOUR, V9, P1322, DOI 10.1111/j.1755-0998.2009.02591.x; Martinez MA, 2020, CHIL J AGR RES, V80, P342, DOI 10.4067/S0718-58392020000300342; MCDERMOTT JM, 1993, ANNU REV PHYTOPATHOL, V31, P353, DOI 10.1146/annurev.py.31.090193.002033; NEI M, 1979, P NATL ACAD SCI USA, V76, P5269, DOI 10.1073/pnas.76.10.5269; Ferreira AFN, 2021, EUPHYTICA, V217, DOI 10.1007/s10681-020-02740-5; Ocampo John, 2017, Agron. colomb., V35, P135, DOI 10.15446/agron.colomb.v35n2.59973; OCAMPO J.A., 2004, P INTERAMERICAN SOC, V48, P72, DOI [10.13140/RG.2.1.4623., DOI 10.13140/RG.2.1.4623, DOI 10.13140/RG.2.1.4623.8167]; Pereira DD, 2015, BIOCHEM SYST ECOL, V59, P12, DOI 10.1016/j.bse.2014.12.020; PEREZ J.O., 2020, PASIFLORAS ESPECIES, P139; RAMAIYA S.D., 2018, J AGR FOOD DEV, V4, P23, DOI [10.30635/2415-0142.2018.04.4, DOI 10.30635/2415-0142.2018.04.4]; Castillo NR, 2020, HORTSCIENCE, V55, P768, DOI 10.21273/HORTSCI14553-19; SLATKIN M, 1987, THEOR POPUL BIOL, V32, P42, DOI 10.1016/0040-5809(87)90038-4; Torres GX, 2019, CHIL J AGR RES, V79, P288, DOI 10.4067/S0718-58392019000200288; Yeh F. C., 2000, Forest conservation genetics: principles and practice, P21, DOI 10.1079/9780851995045.0021; ZIMBACK L., 2004, SCI FOR, P114</t>
  </si>
  <si>
    <t>EMPRESA BRASIL PESQ AGROPEC</t>
  </si>
  <si>
    <t>BRASILIA DF</t>
  </si>
  <si>
    <t>EMBRAPA INFORMACAO TECNOLOGICA, PESQUISA AGROPECUARIA BRASILEIRA - PAB, CAIXA POSTAL 040315, 70770-901 BRASILIA DF, BRAZIL</t>
  </si>
  <si>
    <t>0100-204X</t>
  </si>
  <si>
    <t>1678-3921</t>
  </si>
  <si>
    <t>PESQUI AGROPECU BRAS</t>
  </si>
  <si>
    <t>Pesqui. Agropecu. Bras.</t>
  </si>
  <si>
    <t>e03062</t>
  </si>
  <si>
    <t>10.1590/S1678-3921.pab2023.v58.03062</t>
  </si>
  <si>
    <t>Agriculture, Multidisciplinary</t>
  </si>
  <si>
    <t>A3GC2</t>
  </si>
  <si>
    <t>WOS:000954040600001</t>
  </si>
  <si>
    <t>Alarcon-Aldana, AC; Callejas-Cuervo, M; Bastos, T; Bo, APL</t>
  </si>
  <si>
    <t>Catherine Alarcon-Aldana, Andrea; Callejas-Cuervo, Mauro; Bastos-Filho, Teodiano; Lanari Bo, Antonio Padilha</t>
  </si>
  <si>
    <t>A Kinematic Information Acquisition Model That Uses Digital Signals from an Inertial and Magnetic Motion Capture System</t>
  </si>
  <si>
    <t>motion capture; inertial magnetic sensors; signal processing; kinematics; articular amplitude; upper limb; optical motion capture; optical analysis</t>
  </si>
  <si>
    <t>This paper presents a model that enables the transformation of digital signals generated by an inertial and magnetic motion capture system into kinematic information. First, the operation and data generated by the used inertial and magnetic system are described. Subsequently, the five stages of the proposed model are described, concluding with its implementation in a virtual environment to display the kinematic information. Finally, the applied tests are presented to evaluate the performance of the model through the execution of four exercises on the upper limb: flexion and extension of the elbow, and pronation and supination of the forearm. The results show a mean squared error of 3.82 degrees in elbow flexion-extension movements and 3.46 degrees in forearm pronation-supination movements. The results were obtained by comparing the inertial and magnetic system versus an optical motion capture system, allowing for the identification of the usability and functionality of the proposed model.</t>
  </si>
  <si>
    <t>[Catherine Alarcon-Aldana, Andrea] Univ Pedag &amp; Tecnol Colombia, PhD Program Engn, Tunja 150002, Colombia; [Callejas-Cuervo, Mauro] Univ Pedag &amp; Tecnol Colombia, Fac Engn, Tunja 150002, Colombia; [Bastos-Filho, Teodiano] Univ Fed Espirito Santo, Postgrad Program Elect Engn, BR-29075910 Vitoria, ES, Brazil; [Lanari Bo, Antonio Padilha] Univ Queensland, Sch Informat Technol &amp; Elect Engn, Brisbane, Qld 4072, Australia</t>
  </si>
  <si>
    <t>Universidad Pedagogica y Tecnologica de Colombia (UPTC); Universidad Pedagogica y Tecnologica de Colombia (UPTC); Universidade Federal do Espirito Santo; University of Queensland</t>
  </si>
  <si>
    <t>Alarcon-Aldana, AC (corresponding author), Univ Pedag &amp; Tecnol Colombia, PhD Program Engn, Tunja 150002, Colombia.</t>
  </si>
  <si>
    <t>andrea.alarconaldana@uptc.edu.co; mauro.callejas@uptc.edu.co; teodiano.bastos@ufes.br; antonio.plb@uq.edu.au</t>
  </si>
  <si>
    <t>Bastos-Filho, Teodiano/P-7535-2014; Callejas Cuervo, Mauro/Q-6848-2019; Padilha Lanari Bo, Antonio/L-4167-2017</t>
  </si>
  <si>
    <t>Bastos-Filho, Teodiano/0000-0002-1185-2773; Callejas Cuervo, Mauro/0000-0001-9894-8737; Padilha Lanari Bo, Antonio/0000-0001-8229-0512</t>
  </si>
  <si>
    <t>Universidad Pedagogica y Tecnologica de Colombia [SGI 2947]</t>
  </si>
  <si>
    <t>This study was funded by Universidad Pedagogica y Tecnologica de Colombia (project number SGI 2947) and the APC was funded by the same institution.</t>
  </si>
  <si>
    <t>Akman C, 2021, DECIS SUPPORT SYST, P181; Alvarez D, 2016, COMPUT METHOD BIOMEC, V19, P159, DOI 10.1080/10255842.2014.997718; Aughey RJ, 2022, SPORTS ENG, V25, DOI 10.1007/s12283-021-00365-y; Baid A, 2011, 2011 IEEE WIRELESS COMMUNICATIONS AND NETWORKING CONFERENCE (WCNC), P534, DOI 10.1109/WCNC.2011.5779219; Caccavale F, 1999, IEEE T ROBOTIC AUTOM, V15, P289, DOI 10.1109/70.760350; Callejas-Cuervo Mauro, 2020, Rev.EIA.Esc.Ing.Antioq, V17, P361, DOI 10.24050/reia.v17i34.1472; Callejas-Cuervo M, 2016, INT CONF WEARAB IMPL, P119, DOI 10.1109/BSN.2016.7516244; Callejas-Cuervo M., 2018, REV POLIT CNICA, V14, P93, DOI [10.33571/rpolitec.v14n27a9, DOI 10.33571/RPOLITEC.V14N27A9]; Callejas-Cuervo M, 2021, SENSORS-BASEL, V21, DOI 10.3390/s21134344; Callejas-Cuervo M, 2020, J HUM SPORT EXERC, V15, pS735, DOI 10.14198/jhse.2020.15.Proc3.24; Callejas-Cuervo M, 2020, J HUM SPORT EXERC, V15, pS723, DOI 10.14198/jhse.2020.15.Proc3.23; Callejas-Cuervo M, 2019, REV FAC ING-UPTC, V29, DOI 10.19053/01211129.v29.n54.2020.10228; Callejas-Cuervo M, 2017, J BODYW MOV THER, V21, P574, DOI 10.1016/j.jbmt.2016.08.016; Dorschky E, 2019, J BIOMECH, V95, DOI 10.1016/j.jbiomech.2019.07.022; Dour P., 2016, INT J ENG RES, V5, P182, DOI [10.17577/ijertv5is120136, DOI 10.17577/IJERTV5IS120136]; El-Gohary M, 2015, IEEE T BIO-MED ENG, V62, P1759, DOI 10.1109/TBME.2015.2403368; Evans PR, 2001, ACTA CRYSTALLOGR D, V57, P1355, DOI 10.1107/S0907444901012410; Filippeschi A, 2017, SENSORS-BASEL, V17, DOI 10.3390/s17061257; Forouzan B.A, 2010, TCPIP PROTOCOL SUITE, V4th ed.; Gómez Echeverry Lesly Lisbeth, 2018, Prospect., V16, P24, DOI 10.15665/rp.v16i2.1587; Haas J., HIST UNITY GAME ENGI; Haratian R, 2021, P 17 INT C CONDITION, P1; Kaushik S., 2012, INT J ELECT COMPUTER, V1, P28; Kim A, 2004, IEEE POSITION LOCAT, P268, DOI 10.1109/PLANS.2004.1309003; Kopniak Piotr, 2015, Przeglad Elektrotechniczny, V91, P26, DOI 10.15199/48.2015.08.07; Leung KC, 2007, IEEE T PARALL DISTR, V18, P522, DOI 10.1109/TPDS.2007.1011; Liu SQ, 2020, NAT COMMUN, V11, DOI 10.1038/s41467-020-19424-2; Loshin P, 2003, TCPIP CLEAR EXPLAIN, P341, DOI DOI 10.1016/B978-155860782-8/50020-8; Jaime-Gil JL, 2021, J HUM SPORT EXERC, V16, pS1063, DOI 10.14198/jhse.2021.16.Proc3.24; McGrath T, 2022, SENSORS-BASEL, V22, DOI 10.3390/s22072544; McGrath T, 2020, SENSORS-BASEL, V20, DOI 10.3390/s20236887; Merriaux P, 2017, SENSORS-BASEL, V17, DOI 10.3390/s17071591; Pena E., 2020, VISIT ANALOG, V54, P1; Garza EP, 2008, REV MEX FIS E, V54, P92; Poddar AK, 2021, APPL MATH NONLIN SCI, V6, P429, DOI 10.2478/AMNS.2020.2.00076; Rahul M, 2018, GLOB J COMPUT SCI TE, V18, P1; Reda HEA, 2018, INT C CONTROL DECISI, P798; Ricci L, 2014, SENSORS-BASEL, V14, P1057, DOI 10.3390/s140101057; Robert-Lachaine X, 2020, J BIOMECH, V99, DOI 10.1016/j.jbiomech.2019.109520; Rowenhorst D, 2015, MODEL SIMUL MATER SC, V23, DOI 10.1088/0965-0393/23/8/083501; Ruiz-Olaya Andrés F., 2017, Dyna rev.fac.nac.minas, V84, P180, DOI 10.15446/dyna.v84n201.59054; Sarabandi S, 2019, J MECH ROBOT, V11, DOI 10.1115/1.4041889; Sendra S., 2010, Proceedings 2010 6th International Conference on Wireless and Mobile Communications (ICWMC 2010), P185, DOI 10.1109/ICWMC.2010.46; Sers R, 2020, MEASUREMENT, V149, DOI 10.1016/j.measurement.2019.107024; Sharma Shubham, 2019, 2019 International Conference on Machine Learning, Big Data, Cloud and Parallel Computing (COMITCon), P289, DOI 10.1109/COMITCon.2019.8862448; Unity Technologies Unity, US; uoc, PHILLIPS SEMICONDUCT; van der Kruk E, 2018, EUR J SPORT SCI, V18, P806, DOI 10.1080/17461391.2018.1463397; Villeneuve E, 2017, IEEE ACCESS, V5, P2351, DOI 10.1109/ACCESS.2016.2640559; Vitali RV, 2020, J BIOMECH, V106, DOI 10.1016/j.jbiomech.2020.109832; Wairagkar M., 2021, ARXIV; Wang SL, 2022, SENSORS-BASEL, V22, DOI 10.3390/s22082953; Wilmes E, 2020, SENSORS-BASEL, V20, DOI 10.3390/s20092527; Wirth MA, 2019, SENSORS-BASEL, V19, DOI 10.3390/s19235297; Yahya M, 2019, SENSOR REV, V39, P504, DOI 10.1108/SR-10-2018-0270; Yongcheng Wang, 2011, 2011 International Conference on Electronic &amp; Mechanical Engineering and Information Technology (EMEIT 2011), P2749, DOI 10.1109/EMEIT.2011.6023602; Zhang JH, 2020, IEEE T IND ELECTRON, V67, P8659, DOI 10.1109/TIE.2019.2946557</t>
  </si>
  <si>
    <t>10.3390/s22134898</t>
  </si>
  <si>
    <t>2Y1KZ</t>
  </si>
  <si>
    <t>WOS:000825652500001</t>
  </si>
  <si>
    <t>Martin, DAG; Maldonado, JCP; Gonzalez, OEC</t>
  </si>
  <si>
    <t>Martin, D. A. G.; Maldonado, Jose Constantino Pacheco; Gonzalez, Oswaldo Eliecer Cardenas</t>
  </si>
  <si>
    <t>HPLC-DAD analysis, antifungal and antioxidant activity of Solanum dolichosepalum bitter extracts and fractions</t>
  </si>
  <si>
    <t>BRAZILIAN JOURNAL OF PHARMACEUTICAL SCIENCES</t>
  </si>
  <si>
    <t>Antifungal activity; antioxidant activity; HPLC-DAD analysis; Candida albicans; Fusarium oxysporum; Solanum&amp;nbsp; dolichosepalum</t>
  </si>
  <si>
    <t>CHLOROGENIC ACID; POLYPHENOLS; CULTIVARS; MATURITY; FLOWERS; LEAVES</t>
  </si>
  <si>
    <t>Solanum dolichosepalum is a plant with anti-infective effects. It is a healing agent and has ethnopharmacological uses. In this study, the antifungal activity of extracts and fractions of this species on C. albicans and F. oxysporum was evaluated. The antioxidant activity was measured using the ABTS and DPPH methods, and by determining the total content of phenolic compounds. An HPLC-DAD qualitative analysis was carried out to identify phenolic compounds and alkaloids. Pearson's correlation coeffi cients were calculated. Inhibitory effects were found in all the extracts and fractions on the analyzed microorganisms. F. oxysporum was the microorganism most sensitive to the action of S. dolichosepalum extracts. All extracts and fractions showed antioxidant activity, with the acetone extract and the acetone fraction being those that generated the best results. The content of total phenolic compounds showed that acetone has a greater affinity with the phenolic compounds present in S. dolichosepalum. In this plant,p-Hydroxybenzoic, vanillic, ferulic, trans-cinnamic, caffeic,p-coumaric, and rosmarinic acids were found, as well as theobromine, quercetin, and luteolin. The content of total phenolic compounds was determined to be directly proportional to the inhibition of the ABTS and DPPH radicals, and the inhibition of the analyzed microorganisms. It was determined that the extracts and fractions obtained from S. dolichosepalum show antioxidant and antifungal activity.</t>
  </si>
  <si>
    <t>[Martin, D. A. G.; Gonzalez, Oswaldo Eliecer Cardenas] Univ Pedag &amp; Tecnol Colombia, Sci Fac, Spect &amp; Instrumental Anal Lab, Sch Chem Sci,Mol Phys Chem &amp; Comp Modeling Res Gr, Tunja, Colombia; [Maldonado, Jose Constantino Pacheco] Univ Pedag &amp; Tecnol Colombia, Sci Fac, Sch Biol Sci, Bioplasma Res Grp, Tunja, Colombia; Univ Pedag &amp; Tecnol Colombia, Sci Fac, Spect &amp; Instrumental Anal Lab Mol Phys Chem, Sch Chem Sci,Mol Phys Chem &amp; Comp Modeling Res Gr, Ave Cent Norte 39-119, Tunja 39119, Colombia</t>
  </si>
  <si>
    <t>Martin, DAG (corresponding author), Univ Pedag &amp; Tecnol Colombia, Sci Fac, Spect &amp; Instrumental Anal Lab Mol Phys Chem, Sch Chem Sci,Mol Phys Chem &amp; Comp Modeling Res Gr, Ave Cent Norte 39-119, Tunja 39119, Colombia.</t>
  </si>
  <si>
    <t>dario.martin@uptc.edu</t>
  </si>
  <si>
    <t>Martin Gordo, Dario/0000-0003-4629-166X</t>
  </si>
  <si>
    <t>Department of Investigation of the Universidad Pedagogica y Tecnologica de Colombia [009, 1613]</t>
  </si>
  <si>
    <t>Department of Investigation of the Universidad Pedagogica y Tecnologica de Colombia</t>
  </si>
  <si>
    <t>The authors acknowledge the contribution of the Department of Investigation of the Universidad Pedagogica y Tecnologica de Colombia, who provided financing through Project 009, which offers support to masters and Ph.D. students, through SGI Project Code 1613, and also the Chromatography Laboratory, Research Centre of Excellence, CENIVAM, Universidad Industrial de Santander, Bucaramanga, Colombia for the HPLC-DAD analysis.</t>
  </si>
  <si>
    <t>Alothman M, 2009, FOOD CHEM, V115, P785, DOI 10.1016/j.foodchem.2008.12.005; Alves CT, 2014, FUTURE MICROBIOL, V9, P139, DOI 10.2217/fmb.13.147; Anaya-Lopez JL, 2006, BIOTECHNOL LETT, V28, P1101, DOI 10.1007/s10529-006-9060-4; Andre CM, 2007, J AGR FOOD CHEM, V55, P10839, DOI 10.1021/jf0726583; Arango M, 2004, BIOSALUD, V3, P49; Brown CR, 2005, AM J POTATO RES, V82, P163, DOI 10.1007/BF02853654; Choi SH, 2011, J AGR FOOD CHEM, V59, P12801, DOI 10.1021/jf202791j; Daglia M, 2012, CURR OPIN BIOTECH, V23, P174, DOI 10.1016/j.copbio.2011.08.007; Das J, 2010, INDIAN J MICROBIOL, V50, pS62, DOI 10.1007/s12088-010-0004-2; de Bedout Catalina, 2003, Biomedica, V23, P31; del Bano MJ, 2003, J AGR FOOD CHEM, V51, P4247, DOI 10.1021/jf0300745; Dragovic-Uzelac V, 2007, FOOD CHEM, V102, P966, DOI 10.1016/j.foodchem.2006.04.001; Floegel A, 2011, J FOOD COMPOS ANAL, V24, P1043, DOI 10.1016/j.jfca.2011.01.008; Garces de Granada E., 2001, ACTA BIOL COLOMB, V6, P7; Gomez-Chabala M, 2009, REV CUBANA PLANT MED, V14; Guzman C, 2016, INVEST DESARROLLO CI, V1, P442; Huang HC, 2010, J AGR FOOD CHEM, V58, P8699, DOI 10.1021/jf101003v; Ieri F, 2011, FOOD CHEM, V125, P750, DOI 10.1016/j.foodchem.2010.09.009; Lee JH, 2008, INT IMMUNOPHARMACOL, V8, P1681, DOI 10.1016/j.intimp.2008.08.002; Magalhaes F. S., 2014, Free Radicals and Antioxidants, V4, P15, DOI 10.5530/fra.2014.1.4; Marin, 2006, BIOSALUD, P51; Martin D, 2016, INT J PHARM PHARM SC, V8, P373; N'Dri D, 2010, MOLECULES, V15, P7125, DOI 10.3390/molecules15107125; Nossa González Diana Lisseth, 2016, Rev Cubana Plant Med, P125; Ortiz C, 2019, INFORMADOR TECNICO, V83, P121; Perez J, 2004, REV MED RISARALDA, V10, P13; Potawale S.E., 2008, PHARMACOLOGYONLINE, V3, P140; Priyadharshini D, 2013, INT J PHARM PHARM SC, V5, P652; Quideau S, 2011, ANGEW CHEM INT EDIT, V50, P586, DOI 10.1002/anie.201000044; Ramirez Cardenas A, 2017, VER CUBANA PLANT MED, V22; Ramírez Cárdenas Alexander, 2013, Biosalud, V12, P59; Segundo M, 2006, SECCION SALUD; Sticher O, 2008, NAT PROD REP, V25, P517, DOI 10.1039/b700306b; Sulaiman SF, 2011, J FOOD COMPOS ANAL, V24, P1, DOI 10.1016/j.jfca.2010.04.005; Thaipong K, 2006, J FOOD COMPOS ANAL, V19, P669, DOI 10.1016/j.jfca.2006.01.003; Vasco C, 2009, INT J FOOD SCI NUTR, V60, P278, DOI 10.1080/09637480903099618; Wang HC, 2011, J SCI FOOD AGR, V91, P178, DOI 10.1002/jsfa.4170; Zadra M, 2012, MOLECULES, V17, P12560, DOI 10.3390/molecules171112560</t>
  </si>
  <si>
    <t>UNIV SAO PAULO, CONJUNTO QUIMICAS</t>
  </si>
  <si>
    <t>SAO PAULO</t>
  </si>
  <si>
    <t>SERVICO PUBLICACOES E CIRCULACAO, CAIXA POSTAL 66083, SAO PAULO, 00000, BRAZIL</t>
  </si>
  <si>
    <t>1984-8250</t>
  </si>
  <si>
    <t>2175-9790</t>
  </si>
  <si>
    <t>BRAZ J PHARM SCI</t>
  </si>
  <si>
    <t>Braz. J. Pharm. Sci.</t>
  </si>
  <si>
    <t>e20350</t>
  </si>
  <si>
    <t>10.1590/s2175-97902022e20350</t>
  </si>
  <si>
    <t>8C3YX</t>
  </si>
  <si>
    <t>WOS:000917549100001</t>
  </si>
  <si>
    <t>Martinez, DC; Carvajal-Cogollo, JE</t>
  </si>
  <si>
    <t>Camilo Martinez, David; Carvajal-Cogollo, Juan E.</t>
  </si>
  <si>
    <t>Effects of habitat loss on three insect assemblages in modified ecosystems of foothills of the Colombian Orinoquia</t>
  </si>
  <si>
    <t>REVISTA DE BIOLOGIA TROPICAL</t>
  </si>
  <si>
    <t>habitat fragmentation; habitat amount; ants; butterflies; dung beetles; neotropical landscape</t>
  </si>
  <si>
    <t>FRUIT-FEEDING BUTTERFLIES; DUNG BEETLE; LEPIDOPTERA NYMPHALIDAE; FUNCTIONAL DIVERSITY; COMMUNITY STRUCTURE; TEMPORAL VARIATION; SPECIES RESPONSES; BIODIVERSITY LOSS; FOREST LANDSCAPE; ANT COMMUNITIES</t>
  </si>
  <si>
    <t>Introduction: The effects of habitat transformation have been widely studied and the effects are well-known at different levels of biological organization. However, few studies have focused on responses to this process at the level of multiple taxa in diverse taxonomic and functional groups. Objective: Determine the variations in taxonomic and functional diversity of ants, butterflies, and dung beetles, at a spatial and temporal level in a landscape mosaic of the ecoregion of the Colombian foothills. Methods: We assessed amount of natural habitat and landscape composition in four types of vegetation, during the highest and lowest rain periods. We collected butterflies with hand nets and used baited pitfall traps for dung beetles and ants. Results: Habitat loss positively affected ant and butterfly species richness, and negatively affected dung beetles. The abundance of ants and butterflies had a positive effect on the dominance of species in the transformed veg-etation, for dung beetles the abundance was negatively affected by the absence of canopy cover. Habitat loss had no negative effect on functional diversity as there is no difference between natural and transformed vegetation. Conclusions: The amount of habitat, habitat connectivity and different types of vegetation cover were impor-tant factors in the maintenance of insect diversity in the modified ecosystems of foothills of the Colombian Orinoquia. The lack of a common spatial and temporal pattern shows that studies of multiple insect taxa should be carried out for biodiversity monitoring and conservation processes.</t>
  </si>
  <si>
    <t>[Camilo Martinez, David; Carvajal-Cogollo, Juan E.] Univ Pedag &amp; Tecnol Colombia, Grp Invest Biodiversidad &amp; Conservac, Muse Hist Nat Luis Gonzalo Andrade Nat, Fac Ciencias, Ave Cent Norte 39-115, Tunja 150003, Boyaca, Colombia; [Camilo Martinez, David] Univ Pedag &amp; Tecnol Colombia, Lab Entomol, Tunja, Boyaca, Colombia</t>
  </si>
  <si>
    <t>Martinez, DC (corresponding author), Univ Pedag &amp; Tecnol Colombia, Grp Invest Biodiversidad &amp; Conservac, Muse Hist Nat Luis Gonzalo Andrade Nat, Fac Ciencias, Ave Cent Norte 39-115, Tunja 150003, Boyaca, Colombia.;Martinez, DC (corresponding author), Univ Pedag &amp; Tecnol Colombia, Lab Entomol, Tunja, Boyaca, Colombia.</t>
  </si>
  <si>
    <t>martinezd.camilo@gmail.com; juan.carvajal03@uptc.edu.co</t>
  </si>
  <si>
    <t>Andean Road Consortium; UPTC;  [BPIN 2020000100003]</t>
  </si>
  <si>
    <t xml:space="preserve">Andean Road Consortium; UPTC; </t>
  </si>
  <si>
    <t>We thank The Andean Road Consortium and UPTC for financing this project, Maria Isabel Bautista and Diogenes Arrieta from CONANDINO who collaborated on logistical aspects in the field trips. Irina Tatiana Morales Castano and the team of the UPTC Entomology Laboratory for their support. Andres David Meneses for their help in ant determinations. Maria Paula Chacon Gutierrez for their help in butterfly determinations. We express our gratitude to the call 08-2021, and the project: Taxonomic and functional diversity of coprophagous beetles (Scarabaeidae: Scarabaeinae) in a gradient altitudinal of the Northeastern Andes, Boyaca-Colombia. SGI 3150 of the Vicerrectoria de Investigacion y Extension, of the Universidad Pedagogica y Tecnologica de Colombia (UPTC). We also want to thank the project: The biodiversity of Boyaca: Complementation and synthesis through altitudinal gradients and implementations of its incorporation in projects of social appropriation of knowledge and the effects of climate change, Boyaca. BPIN 2020000100003</t>
  </si>
  <si>
    <t>Andrade C, 2017, SANTA MARIA MARIPOSA; Andrade-C. M. Gonzalo, 2013, Rev. acad. colomb. cienc. exact. fis. nat., V37, P311; Andresen E, 2005, BIOTROPICA, V37, P291, DOI 10.1111/j.1744-7429.2005.00039.x; [Anonymous], 2009, EVOLUTIONARY BIOL CO; AntWeb, 2019, ANTWEB VERS 8 75 3; Arroyo-Rodriguez V., 2019, BIODIVERSIDAD MUNDO, P65; Arroyo-Rodriguez V, 2020, ECOL LETT, V23, P1404, DOI 10.1111/ele.13535; Arroyo-Rodriguez V, 2016, BIOL CONSERV, V198, P84, DOI 10.1016/j.biocon.2016.03.026; Barragan F, 2011, PLOS ONE, V6, DOI 10.1371/journal.pone.0017976; Baselga A., 2018, BETAPART PARTITIONIN; Baselga A., 2010, GLOBAL ECOL BIOGEOGR, V19, P134, DOI DOI 10.1111/j.1466-8238.2009.00490.x; Baselga A, 2015, METHODS ECOL EVOL, V6, P1069, DOI 10.1111/2041-210X.12388; Baselga A, 2012, GLOBAL ECOL BIOGEOGR, V21, P1223, DOI 10.1111/j.1466-8238.2011.00756.x; Bernardes EJ, 2020, FLA ENTOMOL, V103, P384, DOI 10.1653/024.103.0311; Brown K.S. Jr, 1982, P255; Cadotte MW, 2011, J APPL ECOL, V48, P1079, DOI 10.1111/j.1365-2664.2011.02048.x; Cardinale BJ, 2012, NATURE, V486, P59, DOI 10.1038/nature11148; Carrie R, 2017, ECOGRAPHY, V40, P85, DOI 10.1111/ecog.02632; Carvajal L., 2007, CARACTERIZACION FLOR; Casanoves F, 2011, METHODS ECOL EVOL, V2, P233, DOI 10.1111/j.2041-210X.2010.00082.x; Casas-Pinilla LC, 2017, SHILAP-REV LEPIDOPT, V45, P83; Chao A, 2015, ECOLOGY, V96, P1189, DOI 10.1890/14-0550.1; Chao A, 2012, ECOLOGY, V93, P2533, DOI 10.1890/11-1952.1; Clarke KR, 2001, CHANGES MARINE COMMU; Collinge SK, 2009, ECOL FRAGM LANDSCAPE; Cordova-Tapia F., 2015, Ecosistemas, V24, P78; Crist TO, 2006, OECOLOGIA, V147, P510, DOI 10.1007/s00442-005-0275-1; Cuezzo F., 2003, INTRO HORMIGAS REGIO, P398; Cultid C. A., 2012, ESCARABAJOS COPROFAG, V1st; Cultid-Medina C., 2019, BIODIVERSIDAD MUNDO, P175; Cultid-Medina C, 2015, J INSECT CONSERV, V19, P617, DOI 10.1007/s10841-015-9784-3; da Silva PG, 2015, PLOS ONE, V10, DOI 10.1371/journal.pone.0126112; Davies KF, 2004, ECOLOGY, V85, P265, DOI 10.1890/03-0110; Davies RW, 2020, ANIM CONSERV, V23, P617, DOI 10.1111/acv.12584; de Castro FS, 2020, INSECT CONSERV DIVER, V13, P393, DOI 10.1111/icad.12415; de Queiroz ACM, 2020, BIODIVERS CONSERV, V29, P2017, DOI 10.1007/s10531-017-1379-8; Debinski DM, 2000, CONSERV BIOL, V14, P342, DOI 10.1046/j.1523-1739.2000.98081.x; Decaens T, 2018, CONSERV BIOL, V32, P1380, DOI 10.1111/cobi.13206; DeVries P.J., 1987, BUTTERFLIES COSTA RI, V1; Dias Nívia S., 2008, Iheringia, Sér. Zool., V98, P136, DOI 10.1590/S0073-47212008000100017; Drose W, 2019, PLOS ONE, V14, DOI 10.1371/journal.pone.0215310; Edmonds W. D., 2012, Insecta Mundi, P1; Edwards FA, 2017, BIOL CONSERV, V205, P85, DOI 10.1016/j.biocon.2016.11.011; ESRI, 2016, ARCGIS VERS 10 6; Etter A., 2017, LISTA ROJA ECOSISTEM; Ewers RM, 2006, BIOL REV, V81, P117, DOI 10.1017/S1464793105006949; Fahrig L, 2001, BIOL CONSERV, V100, P65, DOI 10.1016/S0006-3207(00)00208-1; Fahrig L, 2003, ANNU REV ECOL EVOL S, V34, P487, DOI 10.1146/annurev.ecolsys.34.011802.132419; Fahrig L, 2019, BIOL CONSERV, V230, P179, DOI 10.1016/j.biocon.2018.12.026; Fahrig L, 2019, GLOBAL ECOL BIOGEOGR, V28, P33, DOI 10.1111/geb.12839; Fahrig L, 2017, ANNU REV ECOL EVOL S, V48, P1, DOI 10.1146/annurev-ecolsys-110316-022612; Fahrig L, 2013, J BIOGEOGR, V40, P1649, DOI 10.1111/jbi.12130; Fernandez F, 2019, HORMIGAS COLOMBIA, P1198; Fernandez F., 2003, INTRO HORMIGAS REGIO; Filgueiras BKC, 2019, ECOL INDIC, V98, P276, DOI 10.1016/j.ecolind.2018.11.005; Filgueiras BKC, 2019, ECOL INDIC, V98, P523, DOI 10.1016/j.ecolind.2018.11.036; Filgueiras BKC, 2016, J INSECT CONSERV, V20, P539, DOI 10.1007/s10841-016-9888-4; Fischer J, 2007, GLOBAL ECOL BIOGEOGR, V16, P265, DOI 10.1111/j.1466-8238.2007.00287.x; Forister ML, 2019, CONSERV SCI PRACT, V1, DOI 10.1111/csp2.80; Garvita Parikh, 2021, Environmental Claims Journal, V33, P161, DOI 10.1080/10406026.2020.1780698; Genier F, 1998, COLEOPTS BULL, V52, P270; Genier Francois, 2003, Fabreries, V28, P57; Gilroy J. J., 2017, CURRENT LANDSCAPE EC, V2, P51, DOI DOI 10.1007/S40823-017-0023-3; Gomez VCG, 2018, BIODIVERS CONSERV, V27, P3201, DOI 10.1007/s10531-018-1597-8; Gomez-Cifuentes A, 2020, APPL SOIL ECOL, V154, DOI 10.1016/j.apsoil.2020.103652; Gonzalez E, 2018, LANDSCAPE ECOL, V33, P2089, DOI 10.1007/s10980-018-0724-y; Gonzalez I., 2021, CANONICAL CORRELATIO; Hayes L, 2009, INSECT CONSERV DIVER, V2, P194, DOI 10.1111/j.1752-4598.2009.00058.x; Hernández Leal Orlando Fabián, 2021, Biota colombiana, V22, P164, DOI 10.21068/c2021.v22n01a11; Hernandez-Camacho J. I., 1992, ACTA ZOOL MEX, P55; Horvath Z, 2019, ECOL LETT, V22, P1019, DOI 10.1111/ele.13260; Hsieh TC, 2016, METHODS ECOL EVOL, V7, P1451, DOI 10.1111/2041-210X.12613; IDEAM (Instituto de Investigaciones de Recursos Alexander von Humboldt) SINCHI (Instituto Amazonico de Investigaciones Cientificas) UAESPNN (Unidad Administrativa Especial del Sistema de Parques Nacionales Naturales) &amp; IGAC (Instituto Geografico Agustin Codazzi), 2011, MAP NAC COB TIERR ES; Jactel H, 2020, CR BIOL, V343, P267, DOI 10.5802/crbiol.37; Jost L, 2006, OIKOS, V113, P363, DOI 10.1111/j.2006.0030-1299.14714.x; Kellner KF, 2019, BIODIVERS CONSERV, V28, P2647, DOI 10.1007/s10531-019-01785-w; KINZIG A, 2002, FUNCTIONAL CONSEQUEN; Kishimoto-Yamada K, 2015, ENTOMOL SCI, V18, P407, DOI 10.1111/ens.12134; Lamas G., 2004, ATLAS NEOTROPICAL LE, P475; Latorre J. P., 2014, CONDICION UNIDADES E; Laurance WF, 2002, J VEG SCI, V13, P595, DOI 10.1111/j.1654-1103.2002.tb02086.x; Losey JE, 2006, BIOSCIENCE, V56, P311, DOI 10.1641/0006-3568(2006)56[311:TEVOES]2.0.CO;2; Macdonald DW, 2020, BIODIVERS CONSERV, V29, P4035, DOI 10.1007/s10531-020-02062-x; MACKENZIE DI, 2018, OCCUPANCY ESTIMATION; Mahecha-Jimenez OJ, 2011, SHILAP-REV LEPIDOPT, V39, P117; Diaz-Garcia JM, 2020, PLOS ONE, V15, DOI 10.1371/journal.pone.0242020; Mariottini Yanina, 2012, Rev. Soc. Entomol. Argent., V71, P275; Marquez-P. Johana, 2020, Bol. Cient. Mus. Hist. Nat. Univ. Caldas, V24, P169, DOI 10.17151/bccm.2020.24.2.12; Mason NWH, 2005, OIKOS, V111, P112, DOI 10.1111/j.0030-1299.2005.13886.x; Medina Claudia Alejandra, 2000, Caldasia, V22, P299; Melo DHA, 2019, CAN J ZOOL, V97, P588, DOI 10.1139/cjz-2018-0202; Minorta C. V., 2015, COLOMBIA DIVERSIDAD, P207; Minorta CV, 2015, COLOMBIA DIVERSIDAD, P533; Mouillot D, 2005, OECOLOGIA, V142, P353, DOI 10.1007/s00442-004-1744-7; Noriega JA, 2018, BASIC APPL ECOL, V26, P8, DOI 10.1016/j.baae.2017.09.006; Nunes CA, 2018, ECOSYSTEMS, V21, P1244, DOI 10.1007/s10021-017-0216-y; Nunes CA, 2016, PLOS ONE, V11, DOI 10.1371/journal.pone.0157442; Oksanen Jari, 2020, CRAN; Martinez-Falcon AP, 2018, PEERJ, V6, DOI 10.7717/peerj.6148; Pla L, 2012, QUANTIFYING FUNCTION; Puttker T, 2011, PLOS ONE, V6, DOI 10.1371/journal.pone.0027963; Puttker T, 2020, BIOL CONSERV, V241, DOI 10.1016/j.biocon.2019.108368; Queiroz ACM, 2016, BRAZ J BIOL, V76, P864, DOI 10.1590/1519-6984.02015; R Development Core Team R, 2018, LANG ENV STAT COMP, DOI DOI 10.1890/0012-9658(2002)083[3097:CFHIWS]2.0.CO;2; Rangel-Ch J. O., 2014, COLOMBIA DIVERSIDAD, P807; Rivera LB, 2008, GANADER A FUTURO EDS, P228; Romero M., 2004, ECOSISTEMAS CUENCA O; Sackmann Paula, 2006, Rev. Soc. Entomol. Argent., V65, P35; Sanabria-Blandón Maria Catalina, 2011, Acta Amaz., V41, P503, DOI 10.1590/S0044-59672011000400008; Sanchez-Bayo F, 2019, BIOL CONSERV, V232, P8, DOI 10.1016/j.biocon.2019.01.020; Santoandre S, 2019, BASIC APPL ECOL, V41, P1, DOI 10.1016/j.baae.2019.08.004; Sardanyes J, 2019, POPUL ECOL, V61, P436, DOI 10.1002/1438-390X.12020; Sarmiento-Garces R., 2014, ESCARABAJOS GENERO D; Senior RA, 2017, ECOL EVOL, V7, P7897, DOI 10.1002/ece3.3262; Skogen K, 2018, J NAT CONSERV, V44, P12, DOI 10.1016/j.jnc.2018.06.001; Spector S, 2006, COLEOPTS BULL, V60, P71, DOI 10.1649/0010-065X(2006)60[71:SDBCSS]2.0.CO;2; Stork NE, 2018, ANNU REV ENTOMOL, V63, P31, DOI 10.1146/annurev-ento-020117-043348; Suarez-Parra K. V., 2016, BIOTA COLOMB, V17, P1, DOI [10.21068/C2016v17r01a01, DOI 10.21068/C2016v17r01a01]; USGS (United States Geological Survey), 2019, IM SAT 7 57 LANDS; van Langevelde F, 2018, GLOBAL CHANGE BIOL, V24, P925, DOI 10.1111/gcb.14008; VARGAS-ZAPATA MARÍA A, 2011, Acta biol.Colomb., V16, P43; Vaz-de-Mello FZ, 2011, ZOOTAXA, P1; Velosa R., 2018, ING USBMED, V9, P86, DOI [10.21500/20275846.3317, DOI 10.21500/20275846.3317]; Villarreal H., 2006, MANUAL METODOS DESAR, V2nd; Wagner DL, 2020, ANNU REV ENTOMOL, V65, P457, DOI 10.1146/annurev-ento-011019-025151; Warren A. D., 2017, ILLUSTRATED LISTS AM; Watling JI, 2020, ECOL LETT, V23, P674, DOI 10.1111/ele.13471</t>
  </si>
  <si>
    <t>SAN JOSE</t>
  </si>
  <si>
    <t>UNIVERSIDAD DE COSTA RICA CIUDAD UNIVERSITARIA, SAN JOSE, 00000, COSTA RICA</t>
  </si>
  <si>
    <t>0034-7744</t>
  </si>
  <si>
    <t>2215-2075</t>
  </si>
  <si>
    <t>REV BIOL TROP</t>
  </si>
  <si>
    <t>Rev. Biol. Trop.</t>
  </si>
  <si>
    <t>JAN-DEC</t>
  </si>
  <si>
    <t>10.15517/rev.biol.trop.2022.49628</t>
  </si>
  <si>
    <t>Biology</t>
  </si>
  <si>
    <t>Life Sciences &amp; Biomedicine - Other Topics</t>
  </si>
  <si>
    <t>3S3WW</t>
  </si>
  <si>
    <t>WOS:000839530900001</t>
  </si>
  <si>
    <t>Becerra, D; Abonia, R; Castillo, JC</t>
  </si>
  <si>
    <t>Becerra, Diana; Abonia, Rodrigo; Castillo, Juan-Carlos</t>
  </si>
  <si>
    <t>Recent Applications of the Multicomponent Synthesis for Bioactive Pyrazole Derivatives</t>
  </si>
  <si>
    <t>MOLECULES</t>
  </si>
  <si>
    <t>multicomponent reactions (MCRs); pyrazole derivatives; biological activity; medicinal chemistry; drug discovery</t>
  </si>
  <si>
    <t>ONE-POT SYNTHESIS; ONE-STEP SYNTHESIS; BIOLOGICAL EVALUATION; MOLECULAR DOCKING; POTENTIAL ANTITUMOR; EFFICIENT SYNTHESIS; DRUG DISCOVERY; ANTIINFLAMMATORY DRUGS; ANTIMICROBIAL ACTIVITY; INHIBITORS</t>
  </si>
  <si>
    <t>Pyrazole and its derivatives are considered a privileged N-heterocycle with immense therapeutic potential. Over the last few decades, the pot, atom, and step economy (PASE) synthesis of pyrazole derivatives by multicomponent reactions (MCRs) has gained increasing popularity in pharmaceutical and medicinal chemistry. The present review summarizes the recent developments of multicomponent reactions for the synthesis of biologically active molecules containing the pyrazole moiety. Particularly, it covers the articles published from 2015 to date related to antibacterial, anticancer, antifungal, antioxidant, alpha-glucosidase and alpha-amylase inhibitory, anti-inflammatory, antimycobacterial, antimalarial, and miscellaneous activities of pyrazole derivatives obtained exclusively via an MCR. The reported analytical and activity data, plausible synthetic mechanisms, and molecular docking simulations are organized in concise tables, schemes, and figures to facilitate comparison and underscore the key points of this review. We hope that this review will be helpful in the quest for developing more biologically active molecules and marketed drugs containing the pyrazole moiety.</t>
  </si>
  <si>
    <t>[Becerra, Diana; Castillo, Juan-Carlos] Univ Pedag &amp; Tecnol Colombia, Fac Ciencias, Escuela Ciencias Quim, Ave Cent Norte, Tunja 150003, Colombia; [Abonia, Rodrigo] Univ Valle, Dept Chem, Res Grp Heterocycl Cpds, AA 25360, Cali 76001, Colombia</t>
  </si>
  <si>
    <t>Universidad Pedagogica y Tecnologica de Colombia (UPTC); Universidad del Valle</t>
  </si>
  <si>
    <t>Castillo, JC (corresponding author), Univ Pedag &amp; Tecnol Colombia, Fac Ciencias, Escuela Ciencias Quim, Ave Cent Norte, Tunja 150003, Colombia.</t>
  </si>
  <si>
    <t>diana.becerra08@uptc.edu.co; rodrigo.abonia@correounivalle.edu.co; juan.castillo06@uptc.edu.co</t>
  </si>
  <si>
    <t>Millán, Juan Castillo/AAM-5433-2020; Becerra, Diana/ABB-6940-2020</t>
  </si>
  <si>
    <t>Millán, Juan Castillo/0000-0002-6060-2578; Becerra, Diana/0000-0001-5805-7454; ABONIA, RODRIGO/0000-0003-3256-0961</t>
  </si>
  <si>
    <t>Direccion de Investigaciones at the Universidad Pedagogica y Tecnologica de Colombia [SGI 3312]; Universidad del Valle</t>
  </si>
  <si>
    <t>Direccion de Investigaciones at the Universidad Pedagogica y Tecnologica de Colombia; Universidad del Valle</t>
  </si>
  <si>
    <t>D.B. and J.-C.C. acknowledge the Direccion de Investigaciones at the Universidad Pedagogica y Tecnologica de Colombia (Project SGI 3312). R.A. thanks MINCIENCIAS and Universidad del Valle for partial financial support. The authors thank Daniela Becerra-Cordoba for designing the graphical abstract.</t>
  </si>
  <si>
    <t>Abdel-Wahab BF, 2011, ARKIVOC, P196, DOI 10.3998/ark.5550190.0012.103; Aboelnaga A, 2018, GREEN CHEM LETT REV, V11, P254, DOI 10.1080/17518253.2018.1473505; Abonia R, 2018, MOLECULES, V23, DOI 10.3390/molecules23030520; Abonia R, 2013, ACS COMB SCI, V15, P2, DOI 10.1021/co300105t; Abonia R, 2012, EUR J MED CHEM, V57, P29, DOI 10.1016/j.ejmech.2012.08.039; Abonia R, 2010, EUR J ORG CHEM, V2010, P6454, DOI 10.1002/ejoc.201000678; Abunada NM, 2008, MOLECULES, V13, P1501, DOI 10.3390/molecules13071501; Addoum B., 2021, IRAN J TOXICOL, V15, DOI [DOI 10.32598/IJT.15.3.798.1, 10.32598/IJT.15.3.798.1]; Adib M, 2010, TETRAHEDRON, V66, P2723, DOI 10.1016/j.tet.2010.01.108; Alharthy RD, 2020, PHARM CHEM J+, V54, P273, DOI 10.1007/s11094-020-02190-2; Ali TE, 2022, RUSS J ORG CHEM+, V58, P106, DOI 10.1134/S1070428022010158; Ambethkar S, 2015, J ADV RES, V6, P975, DOI 10.1016/j.jare.2014.11.011; Amer MMK, 2021, BIOORG CHEM, V114, DOI 10.1016/j.bioorg.2021.105136; Anand D, 2017, J MED CHEM, V60, P1041, DOI 10.1021/acs.jmedchem.6b01447; Anantharaman A, 2010, ANTIMICROB AGENTS CH, V54, P1693, DOI 10.1128/AAC.01231-09; Ansari AJ, 2019, BIOORG CHEM, V93, DOI 10.1016/j.bioorg.2019.103314; Apak R, 2016, J AGR FOOD CHEM, V64, P997, DOI 10.1021/acs.jafc.5b04739; Ashton TD, 2019, J MED CHEM, V62, P10526, DOI 10.1021/acs.jmedchem.9b00761; ASINGER F, 1956, ANGEW CHEM INT EDIT, V68, P413, DOI 10.1002/ange.19560681209; Barakat A, 2018, CHEM CENT J, V12, DOI 10.1186/s13065-018-0399-0; Barakat A, 2016, RES CHEM INTERMEDIAT, V42, P4041, DOI 10.1007/s11164-015-2257-1; Baranda AB, 2006, FORENSIC SCI INT, V156, P23, DOI 10.1016/j.forsciint.2004.11.014; Bautista-Aguilera OM, 2021, CHEM REC, V21, P162, DOI 10.1002/tcr.202000107; Bertolini A, 2002, CURR MED CHEM, V9, P1033, DOI 10.2174/0929867024606650; Bhatt JD, 2015, BIOORGAN MED CHEM, V23, P7711, DOI 10.1016/j.bmc.2015.11.018; Bhavanarushi S, 2013, MED CHEM RES, V22, P2446, DOI 10.1007/s00044-012-0239-z; Bienayme H, 1998, ANGEW CHEM INT EDIT, V37, P2234, DOI 10.1002/(SICI)1521-3773(19980904)37:16&lt;2234::AID-ANIE2234&gt;3.0.CO;2-R; Biginelli P., 1891, BER DTSCH CHEM GES, V24, P1317, DOI DOI 10.1002/CBER.189102401228; Blower TR, 2016, P NATL ACAD SCI USA, V113, P1706, DOI 10.1073/pnas.1525047113; Bohm HJ, 2004, CHEMBIOCHEM, V5, P637, DOI 10.1002/cbic.200301023; Boltjes A, 2019, EUR J ORG CHEM, V2019, P7007, DOI 10.1002/ejoc.201901124; Brahmbhatt GC, 2020, MOL DIVERS, V24, P355, DOI 10.1007/s11030-019-09958-z; Campanico A, 2018, EUR J MED CHEM, V150, P525, DOI 10.1016/j.ejmech.2018.03.020; Castillo JC, 2020, ACS OMEGA, V5, P30148, DOI 10.1021/acsomega.0c04592; Castillo JC, 2018, TARG HETEROCYCL SYST, V22, P194, DOI 10.17374/targets.2019.22.194; Castillo JC, 2018, TETRAHEDRON, V74, P932, DOI 10.1016/j.tet.2017.12.049; Chand K, 2017, PHARMACOL REP, V69, P281, DOI 10.1016/j.pharep.2016.11.007; Charris-Molina A, 2017, J ORG CHEM, V82, P12674, DOI 10.1021/acs.joc.7b02471; Chaudhry F, 2020, CHEMISTRYSELECT, V5, P11817, DOI 10.1002/slct.202002482; Chaudhry F, 2019, BIOORG CHEM, V82, P267, DOI 10.1016/j.bioorg.2018.10.047; Chaudhry F, 2017, BIOORG CHEM, V71, P102, DOI 10.1016/j.bioorg.2017.01.017; Cho NH, 2018, DIABETES RES CLIN PR, V138, P271, DOI 10.1016/j.diabres.2018.02.023; Chougala BM, 2017, EUR J MED CHEM, V125, P101, DOI 10.1016/j.ejmech.2016.09.021; Dayal N, 2021, J MED CHEM, V64, P10981, DOI 10.1021/acs.jmedchem.1c00330; de Souza LG, 2016, CHEM-BIOL INTERACT, V254, P11, DOI 10.1016/j.cbi.2016.05.001; Dehbalaei MG, 2018, BIOINTERFACE RES APP, V8, P3016; Dehbalaei MG, 2017, RES CHEM INTERMEDIAT, V43, P3035, DOI 10.1007/s11164-016-2810-6; Demjen A, 2018, ARCH PHARM, V351, DOI 10.1002/ardp.201800062; Derabli C, 2018, BIOORG MED CHEM LETT, V28, P2481, DOI 10.1016/j.bmcl.2018.05.063; Dighe SN, 2016, J MED CHEM, V59, P7683, DOI 10.1021/acs.jmedchem.6b00356; Domling A, 2012, CHEM REV, V112, P3083, DOI 10.1021/cr100233r; Duhan M, 2021, J BIOMOL STRUCT DYN, V39, P91, DOI 10.1080/07391102.2019.1704885; Eagon S, 2020, J MED CHEM, V63, P11902, DOI 10.1021/acs.jmedchem.0c01152; Ebenezer O, 2022, BIOMEDICINES, V10, DOI 10.3390/biomedicines10051124; El-Assaly S., 2021, CURR CHEM LETT, V10, P309, DOI [10.5267/j.ccl.2021.3.003, DOI 10.5267/J.CCL.2021.3.003]; El-Sayed AA, 2019, MOLECULES, V24, DOI 10.3390/molecules24101965; Elejalde NR, 2018, CHEMISTRYSELECT, V3, P5220, DOI 10.1002/slct.201801238; Elshaier YAMM, 2016, MOLECULES, V21, DOI 10.3390/molecules21101337; FIELDS EK, 1952, J AM CHEM SOC, V74, P1528, DOI 10.1021/ja01126a054; Fouda AM, 2022, J MOL STRUCT, V1249, DOI 10.1016/j.molstruc.2021.131555; Gediya LK, 2009, EXPERT OPIN DRUG DIS, V4, P1099, DOI 10.1517/17460440903341705; GEWALD K, 1966, CHEM BER-RECL, V99, P94, DOI 10.1002/cber.19660990116; Gulcin I, 2020, ARCH TOXICOL, V94, P651, DOI 10.1007/s00204-020-02689-3; Halit S, 2022, J MOL STRUCT, V1261, DOI 10.1016/j.molstruc.2022.132908; Hantzsch A., 1881, BER DTSCH CHEM GES, V14, P1637, DOI [10.1002/cber.18810140214, DOI 10.1002/CBER.18810140214]; Hosseinzadeh L, 2019, J REP PHARM SCI, V8, P262, DOI 10.4103/jrptps.JRPTPS_82_19; Hulme C, 2005, MULTICOMPONENT REACTIONS, P311, DOI 10.1002/3527605118.ch11; Hussain H, 2012, TETRAHEDRON, V68, P2553, DOI 10.1016/j.tet.2012.01.035; Insuasty B, 2015, EUR J MED CHEM, V93, P401, DOI 10.1016/j.ejmech.2015.02.040; Insuasty B, 2013, EUR J MED CHEM, V67, P252, DOI 10.1016/j.ejmech.2013.06.049; Insuasty B, 2013, EUR J MED CHEM, V60, P1, DOI 10.1016/j.ejmech.2012.11.037; Insuasty D, 2021, ARCH PHARM, V354, DOI 10.1002/ardp.202100094; Insuasty D, 2020, MOLECULES, V25, DOI 10.3390/molecules25030505; Jilloju PC, 2022, MOL DIVERS, V26, P1357, DOI 10.1007/s11030-021-10258-8; Jung JC, 2009, MOLECULES, V14, P4790, DOI 10.3390/molecules14114790; Kakuchi R, 2014, ANGEW CHEM INT EDIT, V53, P46, DOI 10.1002/anie.201305538; Karad SC, 2016, RSC ADV, V6, P41532, DOI 10.1039/c6ra01349j; Karad SC, 2015, RSC ADV, V5, P16000, DOI 10.1039/c5ra00388a; Karrouchi K, 2018, MOLECULES, V23, DOI 10.3390/molecules23010134; Kate P, 2022, J CHEM SCI, V134, DOI 10.1007/s12039-021-01990-7; Kathiravan MK, 2012, BIOORGAN MED CHEM, V20, P5678, DOI 10.1016/j.bmc.2012.04.045; Kathirvelan D, 2015, BIOORG MED CHEM LETT, V25, P389, DOI 10.1016/j.bmcl.2014.10.099; Kaur R, 2015, MED CHEM RES, V24, P3334, DOI 10.1007/s00044-015-1382-0; Kendre BV, 2019, ARAB J CHEM, V12, P2091, DOI 10.1016/j.arabjc.2015.01.007; Kerru N, 2020, MONATSH CHEM, V151, P981, DOI 10.1007/s00706-020-02625-2; Komarnicka UK, 2016, DALTON T, V45, P5052, DOI 10.1039/c5dt04011f; Kumar P, 2018, DRUG RES, V68, P72, DOI 10.1055/s-0043-116947; Kumar V, 2018, MED RES REV, V38, P684, DOI 10.1002/med.21454; Lang DK, 2020, ANTI-CANCER AGENT ME, V20, P2150, DOI 10.2174/1871520620666200705214917; Li X, 2015, EUR J MED CHEM, V95, P1, DOI 10.1016/j.ejmech.2015.03.026; Lo Monte F, 2012, J MED CHEM, V55, P4407, DOI 10.1021/jm300309a; Lu J, 2014, ACS CHEM BIOL, V9, P2023, DOI 10.1021/cb5001197; Maddila S, 2017, CURR ORG SYNTH, V14, P634, DOI 10.2174/1570179414666161104162038; Makhanya TR, 2020, CHEMISTRYSELECT, V5, P2756, DOI 10.1002/slct.201904620; Makino M, 1999, PHYTOCHEMISTRY, V50, P273, DOI 10.1016/S0031-9422(98)00534-2; Mali G, 2021, ACS OMEGA, V6, P30734, DOI 10.1021/acsomega.1c04773; Malladi S, 2013, MED CHEM RES, V22, P2654, DOI 10.1007/s00044-012-0267-8; Mamaghani M, 2015, MED CHEM RES, V24, P1916, DOI 10.1007/s00044-014-1271-y; Mamidala S, 2022, POLYCYCL AROMAT COMP, DOI 10.1080/10406638.2022.2027788; Mannich C., 1912, ARCH PHARM, V250, P647, DOI [DOI 10.1002/ARDP.19122500151, 10.1002/ardp.19122500151]; Martins P, 2015, MOLECULES, V20, P16852, DOI 10.3390/molecules200916852; Mayank, 2020, ANALYST, V145, P83, DOI 10.1039/c9an01513b; Mobinikhaledi A, 2014, IRAN J PHARM RES, V13, P873; Mor S, 2022, J MOL STRUCT, V1249, DOI 10.1016/j.molstruc.2021.131526; Naim MJ, 2017, BIOORG CHEM, V73, P24, DOI 10.1016/j.bioorg.2017.05.007; Naim MJ, 2016, J PHARM BIOALLIED SC, V8, P2, DOI 10.4103/0975-7406.171694; NCCLS (National Committee for Clinical Laboratory Standards), 2002, PERF STAND ANT SUSC; Neena, 2015, PHARM CHEM J+, V49, P254, DOI 10.1007/s11094-015-1266-0; Nia RH, 2014, ORG PREP PROCED INT, V46, P152, DOI 10.1080/00304948.2014.884372; Nikookar H, 2018, BIOORG CHEM, V77, P280, DOI 10.1016/j.bioorg.2018.01.025; OLDENZIEL OH, 1977, J ORG CHEM, V42, P3114, DOI 10.1021/jo00439a002; Ozil M, 2016, BIOORGAN MED CHEM, V24, P5103, DOI 10.1016/j.bmc.2016.08.024; Ozil M, 2016, BIOORG CHEM, V68, P226, DOI 10.1016/j.bioorg.2016.08.011; Pandya KM, 2021, TETRAHEDRON LETT, V81, DOI 10.1016/j.tetlet.2021.153353; Parikh PH, 2022, J MOL STRUCT, V1249, DOI 10.1016/j.molstruc.2021.131605; Parmar NJ, 2014, MED CHEM RES, V23, P42, DOI 10.1007/s00044-013-0608-2; Passerini M., 1921, GAZZ CHIM ITAL, V51, P126; Patel HB, 2017, MONATSH CHEM, V148, P1057, DOI 10.1007/s00706-016-1875-7; Plechkova NV, 2008, CHEM SOC REV, V37, P123, DOI 10.1039/b006677j; Pogaku V, 2019, BIOORG CHEM, V93, DOI 10.1016/j.bioorg.2019.103307; Pogaku V, 2019, BIOORG MED CHEM LETT, V29, P1682, DOI 10.1016/j.bmcl.2019.04.026; Prusis P, 2004, J MED CHEM, V47, P3105, DOI 10.1021/jm031127c; Ramachary DB, 2011, ORG BIOMOL CHEM, V9, P1277, DOI 10.1039/c0ob00611d; Rao PPN, 2010, PHARMACEUTICALS, V3, P1530, DOI 10.3390/ph3051530; Rashdan HRM, 2021, ACS OMEGA, V6, P1445, DOI 10.1021/acsomega.0c05116; Reddy GM, 2019, J SAUDI CHEM SOC, V23, P263, DOI 10.1016/j.jscs.2018.07.003; Reddy GM, 2019, BIOORG CHEM, V82, P324, DOI 10.1016/j.bioorg.2018.09.035; Reddy GM, 2017, J HETEROCYCLIC CHEM, V54, P89, DOI 10.1002/jhet.2544; Reddy TS, 2015, ORG BIOMOL CHEM, V13, P10136, DOI 10.1039/c5ob00842e; Rich SM, 2011, P NATL ACAD SCI USA, V108, P12973, DOI 10.1073/pnas.1110141108; Rocha RO, 2020, ACS OMEGA, V5, P972, DOI 10.1021/acsomega.9b03684; Rutherford JC, 2014, PLOS PATHOG, V10, DOI 10.1371/journal.ppat.1004062; Sadeghpour M, 2021, RES CHEM INTERMEDIAT, V47, P4399, DOI 10.1007/s11164-021-04592-7; Safari F, 2019, RSC ADV, V9, P24843, DOI 10.1039/c9ra03196k; Salama SK, 2017, BIOORG CHEM, V71, P19, DOI 10.1016/j.bioorg.2017.01.009; Sangshetti JN, 2015, RSC ADV, V5, P32376, DOI 10.1039/c5ra02669e; Sapariya NH, 2017, NEW J CHEM, V41, P10686, DOI 10.1039/c7nj01962a; Serrano-Sterling C, 2021, J MOL STRUCT, V1244, DOI 10.1016/j.molstruc.2021.130944; Shafiei M, 2020, BIOORG CHEM, V104, DOI 10.1016/j.bioorg.2020.104240; Sharma A, 2016, CURR MICROWAV CHEM, V3, P78, DOI 10.2174/2213335602666150116233238; Sharma S, 2020, EUR J MED CHEM, V200, DOI 10.1016/j.ejmech.2020.112438; Shetye GS, 2020, TRANSL RES, V220, P68, DOI 10.1016/j.trsl.2020.03.007; Silva TB, 2016, BIOORGAN MED CHEM, V24, P4492, DOI 10.1016/j.bmc.2016.07.049; Sindhu J, 2016, MED CHEM RES, V25, P1813, DOI 10.1007/s00044-016-1604-0; Sinka ME, 2012, PARASITE VECTOR, V5, DOI 10.1186/1756-3305-5-69; Sivaganesh T, 2022, RUSS J ORG CHEM+, V58, P81, DOI 10.1134/S1070428022010110; Song CE, 2004, CHEM COMMUN, P1033, DOI 10.1039/b309027b; Strecker A., 1850, LIEBIGS ANN CHEM, V75, P27, DOI [DOI 10.1002/JLAC.18500750103, 10.1002/jlac.18500750103]; Suresh L, 2017, BIOORG MED CHEM LETT, V27, P1451, DOI 10.1016/j.bmcl.2017.01.087; Suresh L, 2016, BIOORG MED CHEM LETT, V26, P4007, DOI 10.1016/j.bmcl.2016.06.086; THURSTON DE, 1994, CHEM REV, V94, P433, DOI 10.1021/cr00026a006; UGI I, 1959, ANGEW CHEM INT EDIT, V71, P386; Vaarla K, 2015, BIOORG MED CHEM LETT, V25, P5797, DOI 10.1016/j.bmcl.2015.10.042; Vairaperumal V, 2019, CHEMISTRYSELECT, V4, P3006, DOI 10.1002/slct.201803942; Valenzuela-Valderrama M, 2019, CANCERS, V11, DOI 10.3390/cancers11060799; Vantaux A, 2021, SCI REP-UK, V11, DOI 10.1038/s41598-021-85628-1; Vasdev N, 2005, BIOORG MED CHEM LETT, V15, P5270, DOI 10.1016/j.bmcl.2005.08.037; Viegas-Junior C, 2007, CURR MED CHEM, V14, P1829; Vitaku E, 2014, J MED CHEM, V57, P10257, DOI 10.1021/jm501100b; Viveka S, 2018, MED CHEM RES, V27, P171, DOI 10.1007/s00044-017-2058-8; Viveka S, 2015, MONATSH CHEM, V146, P1547, DOI 10.1007/s00706-015-1428-5; Wagner FF, 2016, ACS CHEM BIOL, V11, P1952, DOI 10.1021/acschembio.6b00306; Wang BL, 2016, J FLUORINE CHEM, V184, P36, DOI 10.1016/j.jfluchem.2016.02.004; Yakaiah S, 2018, BIOORG MED CHEM LETT, V28, P630, DOI 10.1016/j.bmcl.2018.01.027; Younus HA, 2021, EXPERT OPIN THER PAT, V31, P267, DOI 10.1080/13543776.2021.1858797; Zaki MEA, 2006, Z NATURFORSCH C, V61, P1; Ziarani GM, 2018, IRAN J PHARM RES, V17, P525; Ziarani GM, 2015, J MOL CATAL A-CHEM, V397, P166, DOI 10.1016/j.molcata.2014.10.009; Zidan A, 2019, FRONT CHEM, V7, DOI 10.3389/fchem.2019.00020</t>
  </si>
  <si>
    <t>1420-3049</t>
  </si>
  <si>
    <t>Molecules</t>
  </si>
  <si>
    <t>10.3390/molecules27154723</t>
  </si>
  <si>
    <t>Biochemistry &amp; Molecular Biology; Chemistry, Multidisciplinary</t>
  </si>
  <si>
    <t>Biochemistry &amp; Molecular Biology; Chemistry</t>
  </si>
  <si>
    <t>3S7NO</t>
  </si>
  <si>
    <t>WOS:000839778900001</t>
  </si>
  <si>
    <t>Silva, JHO; Laroze, D; Maiti, SK</t>
  </si>
  <si>
    <t>Ojeda Silva, Judith Helena; Laroze, David; Maiti, Santanu K.</t>
  </si>
  <si>
    <t>Thermoelectric phenomena of the molecular structure of a Thiolated Arylethynylene with a 9,10-Dihydroanthracene (AH) core</t>
  </si>
  <si>
    <t>EUROPEAN PHYSICAL JOURNAL PLUS</t>
  </si>
  <si>
    <t>ELECTRONIC TRANSPORT; SHOT-NOISE; QUANTUM INTERFERENCE; CHARGE-TRANSPORT; JUNCTIONS; BIPHENYL; PERFORMANCE; CONDUCTANCE; MODULATION</t>
  </si>
  <si>
    <t>Thermoelectric properties of the Thiolated Arylethynylene with a 9,10-Dihydroanthracene core molecular system, which consists of a finite homogeneous chain of benzene rings connected to two semi-infinite contacts, are investigated. The study is based on the strong bonding approach to first neighbors, using semi-analytical methods of Green's function techniques within a real space renormalization group scheme. The thermoelectric quantities like electrical conductance, thermal conductance, Seebeck coefficient, and figure of merit are determined in terms of molecule-to-electrode coupling, voltage bias as well as temperature. The obtained results show that such a molecular system can be utilized as an efficient energy converter from heat energy to usable electric energy. Our analysis can be extended to other simple and more complex molecular systems possessing loop sub-structures for designing thermoelectric devices.</t>
  </si>
  <si>
    <t>[Ojeda Silva, Judith Helena] Univ Pedag &amp; Tecnol Colombia, Fac Ciencias, Grp Fis Mat, Tunja 150003, Boyaca, Colombia; [Ojeda Silva, Judith Helena] Univ Pedag &amp; Tecnol Colombia, Fac Ciencias, Lab Quim Teor &amp; Computac, Grp Invest Quim Fis Mol &amp; Modelamiento Computat Q, Tunja 150003, Boyaca, Colombia; [Laroze, David] Univ Tarapaca, Inst Alta Invest, CEDENNA, Casilla 7D, Arica, Chile; [Maiti, Santanu K.] Indian Stat Inst, Phys &amp; Appl Math Unit, 203 Barrackpore Trunk Rd, Kolkata 700108, India</t>
  </si>
  <si>
    <t>Universidad Pedagogica y Tecnologica de Colombia (UPTC); Universidad Pedagogica y Tecnologica de Colombia (UPTC); Universidad de Tarapaca; Indian Statistical Institute; Indian Statistical Institute Kolkata</t>
  </si>
  <si>
    <t>Silva, JHO (corresponding author), Univ Pedag &amp; Tecnol Colombia, Fac Ciencias, Grp Fis Mat, Tunja 150003, Boyaca, Colombia.;Silva, JHO (corresponding author), Univ Pedag &amp; Tecnol Colombia, Fac Ciencias, Lab Quim Teor &amp; Computac, Grp Invest Quim Fis Mol &amp; Modelamiento Computat Q, Tunja 150003, Boyaca, Colombia.</t>
  </si>
  <si>
    <t>judith.ojeda@uptc.edu.co; dlarozen@uta.cl; santanu.maiti@isical.ac.in</t>
  </si>
  <si>
    <t>Laroze, David/E-9134-2011</t>
  </si>
  <si>
    <t>Laroze, David/0000-0002-6487-8096; OJEDA SILVA, JUDITH HELENA/0000-0001-7004-2984</t>
  </si>
  <si>
    <t>Universidad Pedagogica y Tecnologica de Colombia; FONDECYT [1180905]; BASAL/ANID, CEDENNA [AFB180001]</t>
  </si>
  <si>
    <t>Universidad Pedagogica y Tecnologica de Colombia; FONDECYT(Comision Nacional de Investigacion Cientifica y Tecnologica (CONICYT)CONICYT FONDECYT); BASAL/ANID, CEDENNA</t>
  </si>
  <si>
    <t>JHOS acknowledges the financial support from Universidad Pedagogica y Tecnologica de Colombia. DL acknowledge partial financial support from FONDECYT 1180905 and from Centers of Excellence with BASAL/ANID financing Grant AFB180001, CEDENNA.</t>
  </si>
  <si>
    <t>Andrews DQ, 2008, NANO LETT, V8, P1120, DOI 10.1021/nl073265l; Aradhya SV, 2013, NAT NANOTECHNOL, V8, P399, DOI 10.1038/nnano.2013.91; Arnbio A, 1993, J MOL STRUT, V282, P1; AVIRAM A, 1974, CHEM PHYS LETT, V29, P277, DOI 10.1016/0009-2614(74)85031-1; Bao QL, 2009, J PHYS CHEM C, V113, P12530, DOI 10.1021/jp902804f; Berdiyorov GR, 2021, J MATER RES TECHNOL, V12, P193, DOI 10.1016/j.jmrt.2021.02.078; Berdiyorov GR, 2021, J COMPUT SCI-NETH, V48, DOI 10.1016/j.jocs.2020.101261; Blanter YM, 2000, PHYS REP, V336, P1, DOI 10.1016/S0370-1573(99)00123-4; Brandes T, 2005, PHYS REP, V408, P315, DOI 10.1016/j.physrep.2004.12.002; Cardamone DM, 2006, NANO LETT, V6, P2422, DOI 10.1021/nl0608442; Darugar V, 2021, OPTIK, V236, DOI 10.1016/j.ijleo.2021.166475; Datta S., 1997, ELECT TRANSPORT MESO; Dey M, 2011, ORG ELECTRON, V12, P1017, DOI 10.1016/j.orgel.2011.03.012; Di Ventra M, 2000, APPL PHYS LETT, V76, P3448, DOI 10.1063/1.126673; Di Ventra M., 2008, ELECT TRANSPORT NANO, DOI [10.1017/CBO9780511755606, DOI 10.1017/CBO9780511755606]; Evers F, 2020, REV MOD PHYS, V92, DOI 10.1103/RevModPhys.92.035001; Finch CM, 2009, PHYS REV B, V79, DOI 10.1103/PhysRevB.79.033405; Fracasso D, 2011, J AM CHEM SOC, V133, P9556, DOI 10.1021/ja202471m; Fratini S, 2020, NAT MATER, V19, P491, DOI 10.1038/s41563-020-0647-2; Ganguly S, 2021, CARBON, V172, P302, DOI 10.1016/j.carbon.2020.09.085; Ganguly S, 2021, J PHYS D APPL PHYS, V54, DOI 10.1088/1361-6463/abb978; Guedon CM, 2012, NAT NANOTECHNOL, V7, P304, DOI [10.1038/NNANO.2012.37, 10.1038/nnano.2012.37]; Jiang X., 2021, J APPL MATH PHYS, V9, P503, DOI 10.4236/jamp.2021.93035; Joachim C, 2000, NATURE, V408, P541, DOI 10.1038/35046000; Kondo H, 2009, J PHYS-CONDENS MAT, V21, DOI 10.1088/0953-8984/21/6/064220; Koole M, 2015, NANO LETT, V15, P5569, DOI 10.1021/acs.nanolett.5b02188; Lambert CJ, 2015, CHEM SOC REV, V44, P875, DOI 10.1039/c4cs00203b; Li ZL, 2017, CHINESE PHYS B, V26, DOI 10.1088/1674-1056/26/9/098508; Lindsay SM, 2007, ADV MATER, V19, P23, DOI 10.1002/adma.200601140; Liu YR, 2020, J PHYS CHEM C, V124, P22776, DOI 10.1021/acs.jpcc.0c05781; Lundin U, 2002, PHYS REV B, V66, DOI 10.1103/PhysRevB.66.075303; Maiti SK, 2007, PHYS LETT A, V366, P114, DOI 10.1016/j.physleta.2007.02.041; Maiti SK, 2009, PHYS LETT A, V373, P4470, DOI 10.1016/j.physleta.2009.10.002; Medina FG, 2015, SUPERLATTICE MICROST, V87, P89, DOI 10.1016/j.spmi.2015.06.017; Oberhofer H, 2017, CHEM REV, V117, P10319, DOI 10.1021/acs.chemrev.7b00086; Ojeda JH, 2017, ORG ELECTRON, V41, P369, DOI 10.1016/j.orgel.2016.11.030; Ojeda JH, 2014, PHYSICA E, V62, P15, DOI 10.1016/j.physe.2014.04.003; Ojeda JH, 2014, J CHEM PHYS, V140, DOI 10.1063/1.4867782; Ojeda JH, 2013, J APPL PHYS, V114, DOI 10.1063/1.4836895; Ojeda JH, 2012, ORG ELECTRON, V13, P1420, DOI 10.1016/j.orgel.2012.03.036; Ojeda JH, 2009, NANOTECHNOLOGY, V20, DOI 10.1088/0957-4484/20/43/434013; Silva JHO, 2020, MOLECULES, V25, DOI 10.3390/molecules25143215; Silva JHO, 2019, CHEMPHYSCHEM, V20, P3346, DOI 10.1002/cphc.201900699; Parashar S, 2014, EUR PHYS J B, V87, DOI 10.1140/epjb/e2014-50133-2; Pastawski HM, 2002, CHEM PHYS, V281, P257, DOI 10.1016/S0301-0104(02)00565-7; Pauly F, 2008, PHYS REV B, V77, DOI 10.1103/PhysRevB.77.155312; Pease AR, 2001, ACCOUNTS CHEM RES, V34, P433, DOI 10.1021/ar000178q; Pedersen JN, 2007, PHYS REV B, V75, DOI 10.1103/PhysRevB.75.235314; Perrin ML, 2014, NAT NANOTECHNOL, V9, P830, DOI [10.1038/nnano.2014.177, 10.1038/NNANO.2014.177]; Saha KK, 2011, PHYS REV B, V84, DOI 10.1103/PhysRevB.84.041412; Salomon A, 2003, ADV MATER, V15, P1881, DOI 10.1002/adma.200306091; Streitwieser Jr A., 1961, MOL ORBITAL THEORY O; Su WX, 2017, RSC ADV, V7, P14200, DOI 10.1039/c7ra00254h; Tao NJ, 2006, NAT NANOTECHNOL, V1, P173, DOI 10.1038/nnano.2006.130; Tian WD, 1998, J CHEM PHYS, V109, P2874, DOI 10.1063/1.476841; Timar M, 2016, PHYS CHEM CHEM PHYS, V18, P18835, DOI 10.1039/c6cp00726k; Walczak K, 2004, PHYS STATUS SOLIDI B, V241, P2555, DOI 10.1002/pssb.200302036; Yang NX, 2020, PHYS REV B, V102, DOI 10.1103/PhysRevB.102.245412; Zerah-Harush E, 2015, PHYS REV APPL, V3, DOI 10.1103/PhysRevApplied.3.064017; Zhang Y, 2015, J CHEM PHYS, V142, DOI 10.1063/1.4918771; Zimbovskaya NA, 2016, J PHYS-CONDENS MAT, V28, DOI 10.1088/0953-8984/28/18/183002</t>
  </si>
  <si>
    <t>2190-5444</t>
  </si>
  <si>
    <t>EUR PHYS J PLUS</t>
  </si>
  <si>
    <t>Eur. Phys. J. Plus</t>
  </si>
  <si>
    <t>MAY 5</t>
  </si>
  <si>
    <t>10.1140/epjp/s13360-022-02732-5</t>
  </si>
  <si>
    <t>Physics, Multidisciplinary</t>
  </si>
  <si>
    <t>Physics</t>
  </si>
  <si>
    <t>0Z9FV</t>
  </si>
  <si>
    <t>WOS:000791376200002</t>
  </si>
  <si>
    <t>Garcia-Caceres, RG; Torres-Hernandez, GG; Delgado-Tobone, AE</t>
  </si>
  <si>
    <t>Guillermo Garcia-Caceres, Rafael; Guillermo Torres-Hernandez, German; Emilio Delgado-Tobone, Arnoldo</t>
  </si>
  <si>
    <t>Taxonomy of Material handling equipment selection methods at distribution centers</t>
  </si>
  <si>
    <t>CUADERNOS DE ADMINISTRACION-UNIVERSIDAD DEL VALLE</t>
  </si>
  <si>
    <t>Review; Distribution center design; Material handling equipment selection</t>
  </si>
  <si>
    <t>MULTICRITERIA ACCEPTABILITY ANALYSIS; DECISION-SUPPORT-SYSTEM; EXPERT-SYSTEM; FACILITY LAYOUT; OPERATION ALLOCATION; INTEGRATED APPROACH; WAREHOUSE DESIGN; MAKING MODEL; CONSTRUCTION; CRITERIA</t>
  </si>
  <si>
    <t>The current paper presents a taxonomy of material-handling-equipment for distribution centers, based on a Systematic Literature Review of previous works on both Material Handling Equipment in real picking-intensive logistics contexts and the Decision Support Systems [DSS] employed to solve this type of problem. The current review work intends to sort the literature on the topic through a Material Handling Equipment taxonomy supported on a Systematic Literature Review. A historical appraisal of the problem is complemented by the corresponding synthesis, conclusions and future research perspectives. The current study presents an overall view of Material Handling Equipments in real picking-intensive logistics contexts and Decision Support Systems employed to solve this type of problem. New research perspectives and future recommendations aim at a more thorough integration with expert systems (or any more efficient hybrid method) for candidate equipment assessment and final selection. This could be done by using MCDM techniques like to Stochastic Multicriteria Aceptability Analysis [SMAA].</t>
  </si>
  <si>
    <t>[Guillermo Garcia-Caceres, Rafael] Univ Pedag &amp; Tecnol Colombia, Fac Secc Sogamoso, Sch Ind Engn, Tunja, Colombia; [Guillermo Torres-Hernandez, German] Pontificia Univ Javeriana, Dept Ind Engn, Bogota, Colombia; [Emilio Delgado-Tobone, Arnoldo] Univ Mil Nueva Granada, Fac Engn, Bogota, Colombia</t>
  </si>
  <si>
    <t>Universidad Pedagogica y Tecnologica de Colombia (UPTC); Pontificia Universidad Javeriana; Universidad Militar Nueva Granada</t>
  </si>
  <si>
    <t>Garcia-Caceres, RG (corresponding author), Univ Pedag &amp; Tecnol Colombia, Fac Secc Sogamoso, Sch Ind Engn, Tunja, Colombia.</t>
  </si>
  <si>
    <t>rafael.garcia01@uptc.edu.co; torres.german@javeriana.edu.co; arnoldo.delgado@unimilitar.edu.co</t>
  </si>
  <si>
    <t>García-Cáceres, Rafael Guillermo/T-1725-2019</t>
  </si>
  <si>
    <t>García-Cáceres, Rafael Guillermo/0000-0003-0902-1038</t>
  </si>
  <si>
    <t>Research Office of Universidad Pedagogica y Tecnologica de Colombia</t>
  </si>
  <si>
    <t>This research is sponsored by Research Office of Universidad Pedagogica y Tecnologica de Colombia and performed by Optimization and Logistics Research Center Group researchers and staff.</t>
  </si>
  <si>
    <t>Apple J., 1977, PLANT LAYOUT MAT HAN; Atanaskovic P, 2013, PROMET-ZAGREB, V25, P379, DOI 10.7307/ptt.v25i4.1338; Athawale V. M., 2011, Journal of the Institution of Engineers (India), V91, P9; Baker P, 2009, EUR J OPER RES, V193, P425, DOI 10.1016/j.ejor.2007.11.045; Bhattacharya A., 2002, IND ENGIN EERIN G J, V31, P17; Bookbinder J., 1992, J BUSIN ESS LOGIS TI, V13, P149; Braglia M., 2001, J MULTICRITERIA DECI, V10, P303, DOI [10.1002/mcda.310, DOI 10.1002/MCDA.310]; Brans J., 2005, PROMETHEE METHODS; Chakraborty S, 2006, INT J ADV MANUF TECH, V28, P1237, DOI 10.1007/s00170-004-2467-y; Chakraborty S, 2016, J MANUF TECHNOL MANA, V27, P800, DOI 10.1108/JMTM-02-2016-0020; Chan FTS, 2001, J MATER PROCESS TECH, V116, P137, DOI 10.1016/S0924-0136(01)01038-X; Chittratanawat S, 1999, INT J PROD RES, V37, P683, DOI 10.1080/002075499191733; Cho C, 2005, INT J PROD RES, V43, P375, DOI 10.1080/0020754042000268866; CHU HK, 1995, INT J PROD RES, V33, P3311, DOI 10.1080/00207549508904876; Corrente S, 2014, EUR J OPER RES, V239, P514, DOI 10.1016/j.ejor.2014.05.026; Cortes P, 2017, APPL SOFT COMPUT, V53, P61, DOI 10.1016/j.asoc.2016.12.026; Dagdeviren M, 2008, J INTELL MANUF, V19, P397, DOI 10.1007/s10845-008-0091-7; Deb S. K., 2002, Advances in Soft Computing - AFSS 2002. 2002 AFSS International Conference on Fuzzy Systems. Proceedings (Lecture Notes in Artificial Intelligence Vol.2275), P99; FISHER EL, 1988, ENG COST PROD ECON, V14, P297, DOI 10.1016/0167-188X(88)90034-1; Fonseca DJ, 2004, EXPERT SYST APPL, V26, P615, DOI 10.1016/j.eswa.2003.12.011; Frazelle E., 2003, SUPPLY CHAIN STRATEG; Frazelle EH., 2002, WORLD CLASS WAREHOUS; Caceres RGG, 2009, EUR J OPER RES, V192, P891, DOI 10.1016/j.ejor.2007.10.001; García-Cáceres Rafael Guillermo, 2016, Dyna rev.fac.nac.minas, V83, P68, DOI 10.15446/dyna.v83n198.44532; Gaur AV, 2020, TECHNO-SOCIETAL 2018: PROCEEDINGS OF THE 2ND INTERNATIONAL CONFERENCE ON ADVANCED TECHNOLOGIES FOR SOCIETAL APPLICATIONS - VOL 2, P175, DOI 10.1007/978-3-030-16962-6_18; GRAY AE, 1992, EUR J OPER RES, V58, P14, DOI 10.1016/0377-2217(92)90232-X; Gu JX, 2007, EUR J OPER RES, V177, P1, DOI 10.1016/j.ejor.2006.02.025; Gu JX, 2010, EUR J OPER RES, V203, P539, DOI 10.1016/j.ejor.2009.07.031; Garcia-Caceres RG, 2020, OPER RES PERSPECT, V7, DOI 10.1016/j.orp.2020.100145; Hadi-Vencheh A, 2015, INT J COMPUT INTEG M, V28, P534, DOI 10.1080/0951192X.2014.880948; Hafezaikotob A, 2018, COMPUT ELECTRON AGR, V148, P207, DOI 10.1016/j.compag.2018.03.012; Haidar A, 1999, J CONSTR ENG M ASCE, V125, P32, DOI 10.1061/(ASCE)0733-9364(1999)125:1(32); HASSAN MMD, 1985, INT J PROD RES, V23, P381, DOI 10.1080/00207548508904715; Hassan MMD, 2014, J MANUF TECHNOL MANA, V25, P1049, DOI 10.1108/JMTM-08-2012-0077; Hassan MMD, 2010, J MANUF TECHNOL MANA, V21, P246, DOI 10.1108/17410381011014396; Higginson J., 2005, DISTRIBUTION CENTRES, DOI [10.1007/0-387-24977-X_3, DOI 10.1007/0-387-24977-X_3]; Hokkanen J., 1998, J MULTICRITERIA DECI, V7, P273, DOI DOI 10.1002/(SICI)1099-1360(199809)7:5(273::AID-MCDA198)3.0.CO;2-1; Holzapfel A, 2018, EUR J OPER RES, V264, P948, DOI 10.1016/j.ejor.2016.09.013; HOSNI YA, 1989, COMPUT IND ENG, V17, P79, DOI 10.1016/0360-8352(89)90040-5; Hosseini SS, 2016, RAIRO-OPER RES, V50, P869, DOI 10.1051/ro/2016057; Ioannou G, 2007, COMPUT IND ENG, V52, P459, DOI 10.1016/j.cie.2007.02.003; Jato-Espino D, 2014, AUTOMAT CONSTR, V45, P151, DOI 10.1016/j.autcon.2014.05.013; Jiamruangjarus P, 2016, COGENT ENG, V3, DOI 10.1080/23311916.2016.1158515; Karande Prasad, 2013, Journal of Industrial Engineering, DOI 10.1155/2013/268708; Khandekar AV, 2015, INFORMATICA-LITHUAN, V26, P259, DOI 10.15388/Informatica.2015.48; Kildiene S, 2014, J CIV ENG MANAG, V20, P280, DOI 10.3846/13923730.2014.904813; Komljenovic Dragan, 2009, International Journal of Industrial and Systems Engineering, V4, P151, DOI 10.1504/IJISE.2009.022370; Kulak O, 2005, EXPERT SYST APPL, V29, P310, DOI 10.1016/j.eswa.2005.04.004; Lahdelma R, 2003, EUR J OPER RES, V147, P117, DOI 10.1016/S0377-2217(02)00267-9; Lahdelma R, 2002, EUR J OPER RES, V142, P345, DOI 10.1016/S0377-2217(01)00303-4; Lahdelma R, 2001, OPER RES, V49, P444, DOI 10.1287/opre.49.3.444.11220; Lashgari A, 2012, INZ EKON, V23, P125, DOI 10.5755/j01.ee.23.2.1544; Lashkari RS, 2004, INT J PROD ECON, V87, P115, DOI 10.1016/S0925-5273(03)00097-5; Lin CC, 2008, AUTOMAT CONSTR, V17, P180, DOI 10.1016/j.autcon.2007.03.004; Luong LHS, 1998, ROBOT CIM-INT MANUF, V14, P45, DOI 10.1016/S0736-5845(97)00026-4; Manzini R., 2012, WAREHOUSING GLOBAL S, DOI [10.1007/978-1-4471-2274-6, DOI 10.1007/978-1-4471-2274-6]; Mathew M, 2020, ENG APPL ARTIF INTEL, V96, DOI 10.1016/j.engappai.2020.103988; MATSON JO, 1992, INT J PROD RES, V30, P1969, DOI 10.1080/00207549208948133; Mirhosseyni SHL, 2009, EXPERT SYST APPL, V36, P11875, DOI 10.1016/j.eswa.2009.04.014; Momani A., 2011, WORLD ACAD SCI ENG T, V5, P2177, DOI [10.5281/zenodo.1085141, DOI 10.5281/ZENODO.1085141]; Mousavi SM, 2014, INT J COMPUT INTEG M, V27, P547, DOI 10.1080/0951192X.2013.834460; Muther R., 1981, DISTRIBUICION PLANTA, V4th; Okul D, 2014, INT J INF TECH DECIS, V13, P957, DOI 10.1142/S0219622014500175; Onut S, 2009, INT J ADV MANUF TECH, V44, P818, DOI 10.1007/s00170-008-1897-3; Pamucar D, 2015, EXPERT SYST APPL, V42, P3016, DOI 10.1016/j.eswa.2014.11.057; Park YB, 1996, J MANUF SYST, V15, P325, DOI 10.1016/0278-6125(96)84195-1; Patel S., 2016, INT J SCI RES SCI EN, V2, P228; Prasad K, 2015, AUTOMAT CONSTR, V57, P120, DOI 10.1016/j.autcon.2015.06.001; Raiffa H, 1976, DECISIONS MULTIPLE O; Raman D, 2009, ROBOT CIM-INT MANUF, V25, P348, DOI 10.1016/j.rcim.2008.01.004; Riopel D., 2005, NETWORK LOGISTICS DE, DOI [10.1007/0-387-24977-X_1, DOI 10.1007/0-387-24977-X_1]; Rouwenhorst B, 2000, EUR J OPER RES, V122, P515, DOI 10.1016/S0377-2217(99)00020-X; Roy B., 1996, MULTICRITERIA METHOD, DOI [10.1007/978-1-4757-2500-1, DOI 10.1007/978-1-4757-2500-1]; Rudenko N., 1971, MAT HANDLING EQUIPME; Rushton A., 2006, HDB LOGISTIICS DISTR, V3rd; Santelices G, 2017, INT J MIN RECLAM ENV, V31, P52, DOI 10.1080/17480930.2015.1115589; Saputro TE, 2016, INT J MANAG SCI ENG, V11, P34, DOI 10.1080/17509653.2015.1042535; Saputro TE, 2015, INT J PROD RES, V53, P5139, DOI 10.1080/00207543.2015.1005254; Sawant V., 2013, INT J COMPUTER APPL, V70, P8; Shapira A, 2005, J CONSTR ENG M ASCE, V131, P1263, DOI 10.1061/(ASCE)0733-9364(2005)131:12(1263); SKIBNIEWSKI MJ, 1992, J CONSTR ENG M ASCE, V118, P577, DOI 10.1061/(ASCE)0733-9364(1992)118:3(577); Soufi Z, 2021, IFAC PAPERSONLINE, V54, P122, DOI 10.1016/j.ifacol.2021.08.193; Sujono S, 2007, INT J PROD ECON, V105, P116, DOI 10.1016/j.ijpe.2005.07.007; Sule D., 2001, INSTALACIONES MANUFA; Tejesh BSS, 2018, ALEX ENG J, V57, P3817, DOI 10.1016/j.aej.2018.02.003; Temiz I, 2017, PROCEDIA ENGINEER, V196, P286, DOI 10.1016/j.proeng.2017.07.201; Tervonen T, 2009, EUR J OPER RES, V192, P236, DOI 10.1016/j.ejor.2007.09.008; Tervonen T, 2007, EUR J OPER RES, V178, P500, DOI 10.1016/j.ejor.2005.12.037; Tom D., 2020, PROCEDIA CIRP, V93, P658, DOI [10.1016/j.procir.2020.04.145, DOI 10.1016/J.PROCIR.2020.04.145]; Tompkins JA, 2010, FACILITIES PLANNING, V4th; Tuzkaya G, 2010, EXPERT SYST APPL, V37, P2853, DOI 10.1016/j.eswa.2009.09.004; Ulubeyli S, 2009, J CIV ENG MANAG, V15, P369, DOI 10.3846/1392-3730.2009.15.369-376; Valli P., 2012, INT J OPTIMIZATION C, V2, P235; van den Berg JP, 1999, INT J PROD ECON, V59, P519, DOI 10.1016/S0925-5273(98)00114-5; Varun S, 2017, IOP CONF SER-MAT SCI, V197, DOI 10.1088/1757-899X/197/1/012060; VELURY J, 1992, INT J PROD ECON, V27, P233, DOI 10.1016/0925-5273(92)90097-Q; WELGAMA PS, 1995, COMPUT IND ENG, V28, P205, DOI 10.1016/0360-8352(94)00200-7; Welgama PS, 1996, INT J PROD RES, V34, P2247, DOI 10.1080/00207549608905023; WEST TM, 1993, COMPUT IND ENG, V25, P187, DOI 10.1016/0360-8352(93)90252-S; Xiao Y, 2019, J PLAN EDUC RES, V39, P93, DOI 10.1177/0739456X17723971; Xu XZ, 2001, EUR J OPER RES, V131, P587, DOI 10.1016/S0377-2217(00)00101-6; Yazdani-Chamzini A, 2014, J CIV ENG MANAG, V20, P660, DOI 10.3846/13923730.2013.802714; ZIAI MR, 1989, COMPUT IND ENG, V17, P55, DOI 10.1016/0360-8352(89)90036-3</t>
  </si>
  <si>
    <t>UNIV VALLE</t>
  </si>
  <si>
    <t>CALI</t>
  </si>
  <si>
    <t>SEDE SAN FERNANDO EDIFICIO 124, CALLE 4B NO 36-00, CALI, 00000, COLOMBIA</t>
  </si>
  <si>
    <t>0120-4645</t>
  </si>
  <si>
    <t>2256-5078</t>
  </si>
  <si>
    <t>CUAD ADM-U VALLE</t>
  </si>
  <si>
    <t>Cuad. Adm.-Univ. Valle</t>
  </si>
  <si>
    <t>MAY-AUG</t>
  </si>
  <si>
    <t>e2111679</t>
  </si>
  <si>
    <t>10.25100/cdea.v38i73.11679</t>
  </si>
  <si>
    <t>Management</t>
  </si>
  <si>
    <t>Business &amp; Economics</t>
  </si>
  <si>
    <t>8T8OP</t>
  </si>
  <si>
    <t>WOS:000929514500003</t>
  </si>
  <si>
    <t>Ardila-Tellez, LC; Orozco-Hernandez, G; Estupinan-Mongui, F; Moreno-Tellez, CM; Olaya, JJ</t>
  </si>
  <si>
    <t>Ardila-Tellez, Luis -Carlos; Orozco-Hernandez, Giovany; Estupinan-Mongui, Fredy; Moreno-Tellez, Carlos -Mauricio; Olaya, Jhon-Jairo</t>
  </si>
  <si>
    <t>Review of Nitride-Based Multifunctional PVD-Deposited Coatings</t>
  </si>
  <si>
    <t>REVISTA CIENTIFICA</t>
  </si>
  <si>
    <t>cathodic arc; nanostructured coating; physi-cal vapor deposition; sputtering</t>
  </si>
  <si>
    <t>MECHANICAL-PROPERTIES; OXIDATION RESISTANCE; TIALN COATINGS; MICROSTRUCTURE; FILMS; SILICON; PRESSURE; BEHAVIOR; DESIGN; WEAR</t>
  </si>
  <si>
    <t>The success of a functional coating is intrinsically linked to the improvement of its surface properties, as it is the surface that will be in direct contact with the environment and mechanical stresses when the material is used in severe wear, fatigue, or corro-sion applications. It has been shown, for example, by increasing mechanical properties, that factors such as surface hardness increase the durability of the coa-ting/substrate system. Consequently, current research on the design and development of multifunctional coa-tings for surface engineering within mechanical systems must address surface treatment and modification tech-niques. This article is a bibliographic review of coatings with industrial applications regarding transition metal nitrides deposited with physical vapor deposition (PVD) such as and cathodic arc.</t>
  </si>
  <si>
    <t>[Ardila-Tellez, Luis -Carlos; Orozco-Hernandez, Giovany; Estupinan-Mongui, Fredy] Univ ECCI, Bogota, Colombia; [Moreno-Tellez, Carlos -Mauricio] Univ Pedag &amp; Tecnol Colombia, Tunja, Colombia; [Olaya, Jhon-Jairo] Univ Nacl Colombia, Bogota, Colombia</t>
  </si>
  <si>
    <t>Universidad Pedagogica y Tecnologica de Colombia (UPTC); Universidad Nacional de Colombia</t>
  </si>
  <si>
    <t>Ardila-Tellez, LC (corresponding author), Univ ECCI, Bogota, Colombia.</t>
  </si>
  <si>
    <t>lardilat@ecci.edu.co; gorozcoh@ecci.edu.co; festupinanm@ecci.edu.co; carlosmauricio.moreno@uptc.edu.co; jjolayaf@unal.edu.co</t>
  </si>
  <si>
    <t>ARDILA TELLEZ, LUIS CARLOS/0000-0002-5403-2580</t>
  </si>
  <si>
    <t>Universidad Nacional de Colombia; Universidad Pedagogica y Tecnologica de Colombia; Universidad ECCI [004]</t>
  </si>
  <si>
    <t>Universidad Nacional de Colombia; Universidad Pedagogica y Tecnologica de Colombia; Universidad ECCI</t>
  </si>
  <si>
    <t>The authors would like to thank Universidad Nacional de Colombia, Universidad Pedagogica y Tecnologica de Colombia, and Universidad ECCI for their support in this research work, which was funded by Universidad ECCI under call 004.</t>
  </si>
  <si>
    <t>An T, 2008, VACUUM, V82, P1187, DOI 10.1016/j.vacuum.2008.02.004; Estupinan FA, 2021, LUBRICANTS, V9, DOI 10.3390/lubricants9060064; Baptista A, 2018, PROCEDIA MANUF, V17, P746, DOI 10.1016/j.promfg.2018.10.125; Barshilia HC, 2008, VACUUM, V83, P427, DOI 10.1016/j.vacuum.2008.04.075; Barshilia HC, 2010, APPL SURF SCI, V256, P6420, DOI 10.1016/j.apsusc.2010.04.028; Borra JP, 2006, J PHYS D APPL PHYS, V39, pR19, DOI 10.1088/0022-3727/39/2/R01; Capote-Rodriguez G., 2015, PRODUCCION CARACTERI, V1st; Ardila-Tellez LC, 2014, REV FAC ING-UPTC, V23, P9; Chang YY, 2009, SURF COAT TECH, V204, P992, DOI 10.1016/j.surfcoat.2009.04.009; Chawla V, 2010, J MATER SCI TECHNOL, V26, P673, DOI 10.1016/S1005-0302(10)60105-3; Chen L, 2009, INT J REFRACT MET H, V27, P718, DOI 10.1016/j.ijrmhm.2008.12.002; CHU X, 1995, J APPL PHYS, V77, P4403, DOI 10.1063/1.359467; Aya HC, 2018, TECCIENCIA, V13, P43, DOI 10.18180/tecciencia.2018.24.5; Curtins H, 1995, SURF COAT TECH, V76-77, P632, DOI 10.1016/0257-8972(95)02552-9; Ding XZ, 2004, J VAC SCI TECHNOL A, V22, P2351, DOI 10.1116/1.1798771; Diserens M, 1998, SURF COAT TECH, V108, P241, DOI 10.1016/S0257-8972(98)00560-X; Diserens M, 1999, SURF COAT TECH, V120, P158, DOI 10.1016/S0257-8972(99)00481-8; Dobrzanski L., 2010, J ACHIEVEMENTS MAT M, V42, P148; Dominguez-Crespo MA, 2018, J ALLOY COMPD, V746, P688, DOI 10.1016/j.jallcom.2018.02.319; Gong MF, 2017, INT J REFRACT MET H, V69, P209, DOI 10.1016/j.ijrmhm.2017.08.003; Hwang YJ, 2018, J ALLOY COMPD, V737, P53, DOI 10.1016/j.jallcom.2017.12.048; Jiang N, 2004, MAT SCI ENG B-SOLID, V106, P163, DOI 10.1016/j.mseb.2003.09.033; Kabir MS, 2017, SURF COAT TECH, V309, P779, DOI 10.1016/j.surfcoat.2016.10.087; Kelly PJ, 2000, VACUUM, V56, P159, DOI 10.1016/S0042-207X(99)00189-X; Keunecke M, 2010, SURF COAT TECH, V205, P1273, DOI 10.1016/j.surfcoat.2010.09.023; Kim SK, 2008, SURF COAT TECH, V202, P5395, DOI 10.1016/j.surfcoat.2008.06.020; Lin JL, 2015, SURF COAT TECH, V277, P58, DOI 10.1016/j.surfcoat.2015.07.013; LINDFORS PA, 1986, SURF COAT TECH, V29, P275, DOI 10.1016/0257-8972(86)90001-0; Liu W, 2018, CERAM INT, V44, P2209, DOI 10.1016/j.ceramint.2017.10.177; Macias HA, 2019, CERAM INT, V45, P17363, DOI 10.1016/j.ceramint.2019.05.295; Markopoulos A., 2013, SPRINGERBRIEFS APPL, P1, DOI [10.1007/978-1-4471-4330-7_1, DOI 10.1007/978-1-4471-4330-7_1]; Mattox D M, 1998, HDB PHYS VAPOR DEPOS; Mattox DM, 2010, HANDBOOK OF PHYSICAL VAPOR DEPOSITION (PVD) PROCESSING, 2ND EDITION, P237; MatWeb, 2022, MAT PROP DAT; Mayrhofer P., 2014, COMPREHEN MAT PROCES, V4, P355, DOI [10.1016/B978-0-08-096532-1.00423-4, DOI 10.1016/B978-0-08-096532-1.00423-4]; Mei FH, 2005, MATER LETT, V59, P2442, DOI 10.1016/j.matlet.2005.03.019; Miletic A, 2014, SURF COAT TECH, V241, P105, DOI 10.1016/j.surfcoat.2013.10.050; Oliveira JC, 2008, THIN SOLID FILMS, V516, P5032, DOI 10.1016/j.tsf.2008.02.006; Ou YX, 2016, SURF COAT TECH, V293, P21, DOI 10.1016/j.surfcoat.2015.10.009; PalDey S, 2004, INTERMETALLICS, V12, P985, DOI 10.1016/j.intermet.2004.02.021; Park IW, 2004, THIN SOLID FILMS, V447, P443, DOI 10.1016/S0040-6090(03)01122-2; Pierson H. O., 2013, HDB REFRACTORY CARBI; Popescu M, 2009, J NON-CRYST SOLIDS, V355, P1820, DOI 10.1016/j.jnoncrysol.2009.04.053; RANDHAWA H, 1987, SURF COAT TECH, V31, P303, DOI 10.1016/0257-8972(87)90157-5; Ribeiro E, 2004, SURF COAT TECH, V188, P351, DOI 10.1016/j.surfcoat.2004.08.020; Sarin V.K., 2014, COMPREHENSIVE HARD M, V1; Sharma VP, 2018, MATER TODAY-PROC, V5, P6376, DOI 10.1016/j.matpr.2017.12.248; Stueber M, 2005, THIN SOLID FILMS, V493, P104, DOI 10.1016/j.tsf.2005.07.290; Sui XD, 2018, CERAM INT, V44, P5629, DOI 10.1016/j.ceramint.2017.12.210; Vanegas HS, 2019, APPL SURF SCI, V481, P1249, DOI 10.1016/j.apsusc.2019.03.128; Veprek S, 1997, SURF COAT TECH, V97, P15, DOI 10.1016/S0257-8972(97)00279-X; Veprek S, 2004, MAT SCI ENG A-STRUCT, V366, P202, DOI 10.1016/j.msea.2003.08.052; Veprek S, 2000, SURF COAT TECH, V133, P152, DOI 10.1016/S0257-8972(00)00957-9; VETTER J, 1993, SURF COAT TECH, V61, P305, DOI 10.1016/0257-8972(93)90243-H; Vetter J, 2021, COATINGS, V11, DOI 10.3390/coatings11030344; Wang CF, 2014, T NONFERR METAL SOC, V24, P2559, DOI 10.1016/S1003-6326(14)63383-5; Wang T, 2016, APPL SURF SCI, V363, P217, DOI 10.1016/j.apsusc.2015.12.005; Wu WW, 2015, APPL SURF SCI, V351, P803, DOI 10.1016/j.apsusc.2015.05.191; Xi YT, 2017, CERAM INT, V43, P11992, DOI 10.1016/j.ceramint.2017.06.050; Yamamoto T, 2005, SURF COAT TECH, V200, P321, DOI 10.1016/j.surfcoat.2005.02.048; Yazdi MAP, 2014, VACUUM, V109, P43, DOI 10.1016/j.vacuum.2014.06.023; Zhou WP, 2014, APPL SURF SCI, V313, P10, DOI 10.1016/j.apsusc.2014.05.053; Zhou ZF, 2009, THIN SOLID FILMS, V517, P5243, DOI 10.1016/j.tsf.2009.03.115</t>
  </si>
  <si>
    <t>UNIV DISTRITAL FRANCISCO JOSE DE CALDAS, CENTRO INVEST &amp; DESARROLLO CIENT</t>
  </si>
  <si>
    <t>CARRERA 7 NO 40-53, BOGOTA, 00000, COLOMBIA</t>
  </si>
  <si>
    <t>0124-2253</t>
  </si>
  <si>
    <t>2344-8350</t>
  </si>
  <si>
    <t>REV CIENT-COLOMBIA</t>
  </si>
  <si>
    <t>Rev. Cient.</t>
  </si>
  <si>
    <t>JAN-APR</t>
  </si>
  <si>
    <t>10.14483/23448350.20093</t>
  </si>
  <si>
    <t>Education, Scientific Disciplines</t>
  </si>
  <si>
    <t>Education &amp; Educational Research</t>
  </si>
  <si>
    <t>8X0DB</t>
  </si>
  <si>
    <t>WOS:000931690800002</t>
  </si>
  <si>
    <t>Murcia-Mesa, JJ; Patino-Castillo, CG; Rojas-Sarmiento, HA; Navio-Santos, A; Hidalgo-Lopez, MD; Angel-Botero, A</t>
  </si>
  <si>
    <t>Murcia-Mesa, Julie Joseane; Patino-Castillo, Ceidy Geraldine; Rojas-Sarmiento, Hugo Alfonso; Navio-Santos, Antonio; Hidalgo-Lopez, Maria del Carmen; Angel-Botero, Alberto</t>
  </si>
  <si>
    <t>Photocatalytic treatment based on TiO2 for a coal mining drainage</t>
  </si>
  <si>
    <t>Photocatalysis; pollutants; real sample; treatment</t>
  </si>
  <si>
    <t>ACID-MINE DRAINAGE; SURFACE FLUORINATION; INORGANIC ANIONS; DEGRADATION; TRANSFORMATION; PARTICLES; PHENOL; RUTILE; FILMS; WATER</t>
  </si>
  <si>
    <t>The aim of the present work was to evaluate the effectiveness of a heterogeneous photocatalyst based on TiO2 in the treatment of coal mining drainage which contains a variety of heavy metals and high concentration sulfates and sulfides. The photocatalytic behavior of the commercial reference Sigma Aldrich and the different materials synthesized using the Sol-gel methodology with surface modifications using sulfation and fluorination processes were analyzed. To find a possible correlation between the physicochemical properties of photocatalysts and their behavior, a characterization was carried out using X-Ray Diffraction (XRD), X-Ray Fluorescence spectrometry (XRF), Fourier transform infrared spectroscopy (FT-IR), UV-Vis diffuse reflectance Spectra (UV-Vis DRS), N2 physisorption, X-ray photoelectron spectroscopy (XPS), and particle size analysis. Results indicated that the modification of the TiO2 prepared in the laboratory using sulfation and fluorination allowed the successful control of the physicochemical properties of this oxide. However, commercial TiO2 showed the greatest effectiveness in removing metals such as: Fe, Cu, Cr, and As after a photocatalytic reaction for a maximum of 1 hour under continuous nitrogen flow and a light intensity of 120 W/m2.</t>
  </si>
  <si>
    <t>[Murcia-Mesa, Julie Joseane; Patino-Castillo, Ceidy Geraldine; Rojas-Sarmiento, Hugo Alfonso] Univ Pedag &amp; Tecnol Colombia, Escuela Ciencias Quim, Grp Catalisis, Ave Cent Norte 39-115, Tunja 150007, Colombia; [Navio-Santos, Antonio; Hidalgo-Lopez, Maria del Carmen] Univ Seville, ICMS, CSIC, Calle Americo Vespucio 49, Seville 41092, Spain; [Angel-Botero, Alberto] Univ Pedag &amp; Tecnol Colombia, Inst Recursos Minero Energet, Grp Invest CITESA, Calle 4A 15-134, Sogamoso, Colombia</t>
  </si>
  <si>
    <t>Universidad Pedagogica y Tecnologica de Colombia (UPTC); Consejo Superior de Investigaciones Cientificas (CSIC); Instituto de Ciencia de Materiales de Sevilla (ICMS-CSIC); University of Sevilla; Universidad Pedagogica y Tecnologica de Colombia (UPTC)</t>
  </si>
  <si>
    <t>Patino-Castillo, CG (corresponding author), Univ Pedag &amp; Tecnol Colombia, Escuela Ciencias Quim, Grp Catalisis, Ave Cent Norte 39-115, Tunja 150007, Colombia.</t>
  </si>
  <si>
    <t>ceidy.patino@uptc.edu.co</t>
  </si>
  <si>
    <t>Fondo Nacional de Financiamiento para la Ciencia, la Tecnologia eInnovacion (FCTel) del Sistema general de regalias [733]; Universidad Pedagogica y Tecnologica de Colombia</t>
  </si>
  <si>
    <t>Fondo Nacional de Financiamiento para la Ciencia, la Tecnologia eInnovacion (FCTel) del Sistema general de regalias; Universidad Pedagogica y Tecnologica de Colombia</t>
  </si>
  <si>
    <t>This work was supported and financed by the Fondo Nacional de Financiamiento para la Ciencia, la Tecnologia eInnovacion (FCTel) del Sistema general de regalias (AwardNo. 733 for the training of high-level human resourcesof the department of Boyaca and Minciencias) and by Universidad Pedagogica y Tecnologica de Colombia</t>
  </si>
  <si>
    <t>ABDULLAH M, 1990, J PHYS CHEM-US, V94, P6820, DOI 10.1021/j100380a051; Amano F, 2009, CHEM MATER, V21, P2601, DOI 10.1021/cm9004344; [Anonymous], 2015, RESOLUCION 631 DE 20, P486; Barakat MA, 2011, ARAB J CHEM, V4, P361, DOI 10.1016/j.arabjc.2010.07.019; Colon G, 2006, APPL CATAL B-ENVIRON, V63, P45, DOI 10.1016/j.apcatb.2005.09.008; Colon G, 2009, APPL CATAL B-ENVIRON, V90, P633, DOI 10.1016/j.apcatb.2009.04.026; Johnson DB, 2005, SCI TOTAL ENVIRON, V338, P3, DOI 10.1016/j.scitotenv.2004.09.002; Kim J, 2010, RES CHEM INTERMEDIAT, V36, P127, DOI 10.1007/s11164-010-0123-8; Konstantinou IK, 2004, APPL CATAL B-ENVIRON, V49, P1, DOI 10.1016/j.apcatb.2003.11.010; Litter MI, 1999, APPL CATAL B-ENVIRON, V23, P89, DOI 10.1016/S0926-3373(99)00069-7; Malato S, 2009, CATAL TODAY, V147, P1, DOI 10.1016/j.cattod.2009.06.018; Minero C, 2000, LANGMUIR, V16, P2632, DOI 10.1021/la9903301; Mrowetz M, 2005, PHYS CHEM CHEM PHYS, V7, P1100, DOI 10.1039/b500194c; Mueses M., 2013, ING COMPET, V15; Murcia JJ, 2015, APPL CATAL B-ENVIRON, V179, P305, DOI 10.1016/j.apcatb.2015.05.040; Nolan NT, 2009, J PHYS CHEM C, V113, P16151, DOI 10.1021/jp904358g; Park H, 2004, J PHYS CHEM B, V108, P4086, DOI 10.1021/jp036735i; Park H, 2013, J PHOTOCH PHOTOBIO C, V15, P1, DOI 10.1016/j.jphotochemrev.2012.10.001; Park YR, 2005, THIN SOLID FILMS, V484, P34, DOI 10.1016/j.tsf.2005.01.039; Rajeshwar K, 2002, J ELECTROANAL CHEM, V538, P173, DOI 10.1016/S0022-0728(02)00902-6; Rice EW, 2012, STANDARD METHODS EXA; SERPONE N, 1995, J PHYS CHEM-US, V99, P16646, DOI 10.1021/j100045a026; Sheoran AS, 2006, MINER ENG, V19, P105, DOI 10.1016/j.mineng.2005.08.006; SINGER PC, 1970, SCIENCE, V167, P1121, DOI 10.1126/science.167.3921.1121; Sugishita N, 2011, CATAL TODAY, V164, P391, DOI 10.1016/j.cattod.2010.11.003; Takeuchi M, 2007, J PHYS CHEM C, V111, P9811, DOI 10.1021/jp0689159; Le TK, 2014, APPL CATAL B-ENVIRON, V144, P1, DOI 10.1016/j.apcatb.2013.06.027; TORRENTS A, 1993, ENVIRON SCI TECHNOL, V27, P1060, DOI 10.1021/es00043a004; Vijayabalan A, 2009, J HAZARD MATER, V172, P914, DOI 10.1016/j.jhazmat.2009.07.082; Vohra MS, 2003, J PHOTOCH PHOTOBIO A, V160, P55, DOI 10.1016/S1010-6030(03)00221-1; Vorontsov A. V., 2020, SURFACES-BASEL, V3, P1, DOI 10; Wahyuni E. T., 2015, American Chemical Science Journal, V5, P194; Wang CC, 2016, APPL CATAL B-ENVIRON, V193, P198, DOI 10.1016/j.apcatb.2016.04.030; Yu JG, 2009, J PHYS CHEM C, V113, P6743, DOI 10.1021/jp900136q; Zhang T, 2014, INT J PHOTOENERGY, V2014, DOI 10.1155/2014/607954</t>
  </si>
  <si>
    <t>APR-JUN</t>
  </si>
  <si>
    <t>10.17533/udea.redin.20211063</t>
  </si>
  <si>
    <t>9F2ZF</t>
  </si>
  <si>
    <t>WOS:000937341400008</t>
  </si>
  <si>
    <t>Suarez, H; Reyes, A; Suarez, Y</t>
  </si>
  <si>
    <t>Suarez, Hector; Reyes, Armando; Suarez, Yesica</t>
  </si>
  <si>
    <t>Homogenized skew PBW extensions</t>
  </si>
  <si>
    <t>ARABIAN JOURNAL OF MATHEMATICS</t>
  </si>
  <si>
    <t>16S36; 16S37; 16W50; 16W70; 13N10</t>
  </si>
  <si>
    <t>ALGEBRAS; RINGS; DEFORMATION; PROPERTY; GEOMETRY; NOTION</t>
  </si>
  <si>
    <t>In this paper, we provide a new and more general filtration to the family of noncommutative rings known as skew PBW extensions. We introduce the notion of sigma-filtered skew PBW extension and study some homological properties of these algebras. We show that the homogenization of a sigma-filtered skew PBW extension A over a ring R is a graded skew PBW extension over the homogenization of R. Using this fact, we prove that if the homogenization of R is Auslander-regular, then the homogenization of A is a domain Noetherian, Artin-Schelter regular, and A is Noetherian, Zariski and (ungraded) skew Calabi-Yau.</t>
  </si>
  <si>
    <t>[Suarez, Hector; Suarez, Yesica] Univ Pedag &amp; Tecnol Colombia, Escuela Matemat &amp; Estadist, Sede Tunja, Colombia; [Reyes, Armando] Univ Nacl Colombia, Dept Matemat, Bogota, Colombia</t>
  </si>
  <si>
    <t>Reyes, A (corresponding author), Univ Nacl Colombia, Dept Matemat, Bogota, Colombia.</t>
  </si>
  <si>
    <t>hector.suarez@uptc.edu.co; mareyesv@unal.edu.co; yesica.suarez@uptc.edu.co</t>
  </si>
  <si>
    <t>Reyes, Armando/AAJ-3561-2020; Suárez, Héctor/ABD-9214-2020</t>
  </si>
  <si>
    <t>Reyes, Armando/0000-0002-5774-0822; Suárez, Héctor/0000-0003-4618-0599</t>
  </si>
  <si>
    <t>Vicerrectoria de Investigacion y Extension, Universidad Pedagogica y Tecnologica de Colombia, Tunja, Colombia [SGI 3334]; Faculty of Science, Universidad Nacional de Colombia-Sede Bogota, Colombia [HERMES 52464]</t>
  </si>
  <si>
    <t>Vicerrectoria de Investigacion y Extension, Universidad Pedagogica y Tecnologica de Colombia, Tunja, Colombia; Faculty of Science, Universidad Nacional de Colombia-Sede Bogota, Colombia</t>
  </si>
  <si>
    <t>The first author was supported by Vicerrectoria de Investigacion y Extension, Code SGI 3334, Universidad Pedagogica y Tecnologica de Colombia, Tunja, Colombia. The authors were supported by the research fund of Faculty of Science, Code HERMES 52464, Universidad Nacional de Colombia-Sede Bogota, Colombia.</t>
  </si>
  <si>
    <t>Andruskiewitsch N., 2021, ARXIV; Artamonov VA, 2015, COMMUN MATH STAT, V3, P449, DOI 10.1007/s40304-015-0067-9; ARTIN M, 1987, ADV MATH, V66, P171, DOI 10.1016/0001-8708(87)90034-X; Bell A. D., 1990, SOME 3 DIMENSIONAL S; BELL AD, 1988, PAC J MATH, V131, P13, DOI 10.2140/pjm.1988.131.13; Cassidy T, 2008, MATH Z, V260, P93, DOI 10.1007/s00209-007-0263-8; Cassidy T, 2007, J REINE ANGEW MATH, V610, P1, DOI 10.1515/CRELLE.2007.065; Chirvasitu A, 2018, PAC J MATH, V292, P305, DOI 10.2140/pjm.2018.292.305; Fajardo W., 2020, ALGEBRA APPL; Gaddis J, 2016, J ALGEBRA APPL, V15, DOI 10.1142/S021949881650064X; Gallego C, 2011, COMMUN ALGEBRA, V39, P50, DOI 10.1080/00927870903431209; Greenfeld B, 2019, PUBL MAT, V63, P423, DOI 10.5565/PUBLMAT6321902; Hashemi E, 2019, MATEMATICHE, V74, P141, DOI 10.4418/2019.74.1.10; Hashemi E., 2019, J ALGEBR SYST, V7, P1, DOI [DOI 10.22044/JAS.2018.6762.1333, 10.22044/JAS.2018.6762.1333]; Hashemi E, 2017, KYUNGPOOK MATH J, V57, P401, DOI 10.5666/KMJ.2017.57.3.401; LeBruyn L, 1996, MATH Z, V222, P171, DOI 10.1007/BF02621863; LEBRUYN L, 1993, P AM MATH SOC, V118, P725, DOI 10.1090/S0002-9939-1993-1136235-9; LEVASSEUR T, 1992, GLASGOW MATH J, V34, P277, DOI 10.1017/S0017089500008843; Lezama O., 2017, DISCUSSIONES MATH GE, V37, P45, DOI [DOI 10.7151/dmgaa.1264, DOI 10.7151/DMGAA.1264]; Lezama O, 2021, COMMUN MATH STAT, V9, P347, DOI 10.1007/s40304-021-00238-7; Lezama O, 2020, INT J ALGEBR COMPUT, V30, P1625, DOI 10.1142/S0218196720500575; Lezama O, 2019, SYMMETRY-BASEL, V11, DOI 10.3390/sym11070881; Lezama O, 2016, SAO PAULO J MATH SCI, V10, P60, DOI 10.1007/s40863-015-0010-8; Lezama O, 2017, INT J ALGEBR COMPUT, V27, P361, DOI 10.1142/S0218196717500199; Lezama O, 2017, DISS MATH, P1, DOI 10.4064/dm747-4-2016; Lezama O, 2014, COMMUN ALGEBRA, V42, P1200, DOI 10.1080/00927872.2012.735304; Li H., 1996, K MONOGRAPHS MATH; LI HS, 1992, P AM MATH SOC, V115, P1, DOI 10.2307/2159557; Liu LY, 2014, J NONCOMMUT GEOM, V8, P587, DOI 10.4171/JNCG/165; Louzari Mohamed, 2020, Rev.colomb.mat., V54, P39; McConnell J., 2001, GRADUATE STUDIES MAT; Ore O, 1933, ANN MATH, V34, P480, DOI 10.2307/1968173; Lezama JO, 2020, COMMUN ALGEBRA, V48, P866, DOI 10.1080/00927872.2019.1666404; Acosta JP, 2015, ALGEBRA DISCRET MATH, V20, P1; Phan C, 2012, COMMUN ALGEBRA, V40, P834, DOI 10.1080/00927872.2010.539584; Redman IT, 1999, COMMUN ALGEBRA, V27, P5587, DOI 10.1080/00927879908826775; Reyes A., 2017, FAR E J MATH SCI, V102, P373, DOI [DOI 10.17654/MS102020373, 10.17654/MS102020373]; Reyes A, 2020, J ALGEBRA APPL, V19, DOI 10.1142/S0219498820502254; Reyes A, 2021, COMMUN MATH STAT, V9, P119, DOI 10.1007/s40304-019-00189-0; Reyes A, 2019, BEITR ALGEBR GEOM, V60, P197, DOI 10.1007/s13366-018-0412-8; Reyes A, 2018, BEITR ALGEBR GEOM, V59, P625, DOI 10.1007/s13366-018-0384-8; Reyes A, 2018, REV UNION MAT ARGENT, V59, P157; Rogalski D, 2012, CONTEMP MATH, V562, P221, DOI 10.1090/conm/562/11139; Rosenberg A., 1995, MATH ITS APPL, V330; Shen Y, 2016, SCI CHINA MATH, V59, P661, DOI 10.1007/s11425-015-5077-2; Suarez, 2021, REV INTEGR TEMAS MAT, V39, P91, DOI [DOI 10.18273/REVINT.V39N1-2021007, 10.18273/revint.v39n1-2021007]; Suarez H., 2017, THESIS U NACL COLOMB; SUÁREZ HÉCTOR, 2017, Rev.colomb.mat., V51, P221; Suarez H, 2017, COMMUN ALGEBRA, V45, P4569, DOI 10.1080/00927872.2016.1272694; Tumwesigye A. B., 2020, SPRINGER P MATH STAT, V317; Wu QSS, 2013, ALGEBR REPRESENT TH, V16, P405, DOI 10.1007/s10468-011-9312-4; Gomez JY, 2020, COMMUN ALGEBRA, V48, P185, DOI 10.1080/00927872.2019.1635610; Zambrano BA, 2020, ALGEBRA DISCRET MATH, V29, P277, DOI 10.12958/adm1037; Zhang JJ, 2008, J PURE APPL ALGEBRA, V212, P2668, DOI 10.1016/j.jpaa.2008.05.008; Zhang JJ, 2009, J ALGEBRA, V322, P373, DOI 10.1016/j.jalgebra.2009.03.041</t>
  </si>
  <si>
    <t>2193-5343</t>
  </si>
  <si>
    <t>2193-5351</t>
  </si>
  <si>
    <t>ARAB J MATH</t>
  </si>
  <si>
    <t>Arabian J. Math.</t>
  </si>
  <si>
    <t>10.1007/s40065-022-00410-z</t>
  </si>
  <si>
    <t>9K9MM</t>
  </si>
  <si>
    <t>WOS:000896479600001</t>
  </si>
  <si>
    <t>Castaneda, C; Santos, D; Hernandez, JS; Alvarez, A; Rojas, H; Gomez, R; Rajabi, F; Martinez, JJ; Luque, R</t>
  </si>
  <si>
    <t>Castaneda, Claudia; Santos, Diana; Hernandez, J. Sebastian; Alvarez, Andres; Rojas, Hugo; Gomez, Ricardo; Rajabi, Fatemeh; Martinez, Jose J.; Luque, Rafael</t>
  </si>
  <si>
    <t>Efficient NiO/F-TiO2 nanocomposites for 4-chlorophenol photodegradation</t>
  </si>
  <si>
    <t>CHEMOSPHERE</t>
  </si>
  <si>
    <t>Photocatalysis; Degradation; 4-Chlorophenol; Heterojunctions; NiO; F -TiO 2 semiconductors</t>
  </si>
  <si>
    <t>PHOTOCATALYTIC DEGRADATION; TIO2; REDUCTION; PERFORMANCE; COMPOSITES; CR(VI)</t>
  </si>
  <si>
    <t>This work aimed to study NiO/F-TiO2 composites in the photocatalytic degradation of 4-chlorophenol. F-TiO2 support was prepared by in-situ fluorination of TiO2 using the sol-gel method. The heterostructured materials were prepared by wet impregnation method, varying NiO content (0.5, 1.0, and 2.0% wt). The solids were characterized by X-ray fluorescence, X-ray diffraction, nitrogen physisorption, diffuse reflectance UV-Vis spectrophotometry, infrared spectroscopy, and X-ray photoelectron spectroscopy. The characterization studies showed that the coupling of TiO2 with fluoride ions promoted the generation of equivalent to Ti-F surface species that could be responsible for the decrease in the recombination frequency of charge carriers and the increased photoactivity. In addition, it was found that the coupling of NiO/F-TiO2 semiconductors improved the photocatalytic properties of the fluorinated support, obtaining higher percentages of degradation and mineralization of the phenolic contaminant. These results are possibly a consequence of factors such as the formation of larger crystallites, lower band gap energies, and the generation of p-n type interfacial heterojunctions that potentiate the proper separation of electron-hole pairs. An effect of NiO content on photoactivity was observed, being a percentage of 1.0% wt the optimum in this photocatalytic treatment.</t>
  </si>
  <si>
    <t>[Castaneda, Claudia; Santos, Diana; Hernandez, J. Sebastian; Alvarez, Andres; Rojas, Hugo; Martinez, Jose J.] Univ Pedag &amp; Tecnol Colombia, Escuela Ciencias Quim, Grp Catalisis UPTC, Ave Cent Norte,Via Paipa, Boyaca, Tunja, Colombia; [Gomez, Ricardo] Univ Autonoma Metropolitana Iztapalapa, Dept Quim, Mexico City, DF, Mexico; [Rajabi, Fatemeh] Payame Noor Univ, Dept Sci, POB 19395-4697, Tehran, Iran; [Luque, Rafael] Univ Cordoba, Dept Quim Organ, Grp FQM 383, Campus Univ Rabanales,Edificio Marie Curie C3, E-14014 Cordoba, Spain; [Luque, Rafael] Univ ECOTEC, Km 13-5 Samborondon, EC-0922302 Samborondon, Ecuador</t>
  </si>
  <si>
    <t>Universidad Pedagogica y Tecnologica de Colombia (UPTC); Universidad Autonoma Metropolitana - Mexico; Payame Noor University; Universidad de Cordoba</t>
  </si>
  <si>
    <t>Castaneda, C (corresponding author), Univ Pedag &amp; Tecnol Colombia, Escuela Ciencias Quim, Grp Catalisis UPTC, Ave Cent Norte,Via Paipa, Boyaca, Tunja, Colombia.</t>
  </si>
  <si>
    <t>claudia.castaneda@uptc.edu.co</t>
  </si>
  <si>
    <t>; Luque, Rafael/F-9853-2010</t>
  </si>
  <si>
    <t>Hernandez Nino, Jhon Sebastian/0000-0002-6550-7107; Luque, Rafael/0000-0003-4190-1916; Castaneda Martinez, Claudia Patricia/0000-0002-5360-2756</t>
  </si>
  <si>
    <t>Direccion de Investigaciones of the Universidad Pedagogica y Tecnologica de Colombia [SGI 3313]</t>
  </si>
  <si>
    <t>Direccion de Investigaciones of the Universidad Pedagogica y Tecnologica de Colombia</t>
  </si>
  <si>
    <t>The authors also acknowledge financial support from the Direccion de Investigaciones of the Universidad Pedagogica y Tecnologica de Colombia through project SGI 3313.</t>
  </si>
  <si>
    <t>Cubillos-Lobo JA, 2017, REV FAC ING-UNIV ANT, P20, DOI 10.17533/udea.redin.n83a03; Bellardita M, 2018, J PHOTOCH PHOTOBIO A, V367, P312, DOI 10.1016/j.jphotochem.2018.08.042; Bokhimi X, 1997, CHEM MATER, V9, P2616, DOI 10.1021/cm970279r; Bustos-Ramirez K, 2015, J ENVIRON HEALTH SCI, V13, DOI 10.1186/s40201-015-0184-0; Castan?eda C., 2021, CIENCIA DESARROLLO, V12, P125; Castaneda C, 2022, CHEMOSPHERE, V288, DOI 10.1016/j.chemosphere.2021.132506; Castaeda C, 2020, J CHEM TECHNOL BIOT, V95, P3213, DOI 10.1002/jctb.6499; Castaneda C, 2018, J CHEM TECHNOL BIOT, V93, P1113, DOI 10.1002/jctb.5470; Castaneda C, 2016, J SOL-GEL SCI TECHN, V80, P426, DOI 10.1007/s10971-016-4104-2; Chen J, 2020, J COLLOID INTERF SCI, V562, P313, DOI 10.1016/j.jcis.2019.12.031; Chougala LS, 2017, J NANO ELECTRON PHYS, V9, DOI 10.21272/jnep.9(4).04005; Das A, 2021, MATER CHEM PHYS, V263, DOI 10.1016/j.matchemphys.2021.124431; Elghniji K, 2012, J ENVIRON SCI, V24, P479, DOI 10.1016/S1001-0742(10)60659-6; Ganesh I, 2012, SCI WORLD J, DOI 10.1100/2012/127326; Ghorai TK, 2011, J ALLOY COMPD, V509, P8158, DOI 10.1016/j.jallcom.2011.05.069; Hamdan M.O., 2014, ICREGA 14 RENEWABLE; Han C, 2017, J ALLOY COMPD, V703, P530, DOI 10.1016/j.jallcom.2017.01.349; Ku Y, 2011, J MOL CATAL A-CHEM, V349, P20, DOI 10.1016/j.molcata.2011.08.006; Muniz FTL, 2016, ACTA CRYSTALLOGR A, V72, P385, DOI 10.1107/S205327331600365X; Leon A, 2017, APPL SCI-BASEL, V7, DOI 10.3390/app7010049; Li ZQ, 2015, APPL SURF SCI, V355, P1051, DOI 10.1016/j.apsusc.2015.07.162; Liu J, 2018, APPL CATAL B-ENVIRON, V224, P705, DOI 10.1016/j.apcatb.2017.11.028; Low JX, 2017, ADV MATER, V29, DOI 10.1002/adma.201601694; Lv KL, 2012, J MOL CATAL A-CHEM, V356, P78, DOI 10.1016/j.molcata.2011.12.028; Mancipe S, 2021, CATAL TODAY, V372, P191, DOI 10.1016/j.cattod.2020.12.014; Mancipe S, 2016, APPL CLAY SCI, V129, P71, DOI 10.1016/j.clay.2016.05.005; Mannaa MA, 2021, ACS OMEGA, V6, P30386, DOI 10.1021/acsomega.1c03693; Mendoza-Damian G, 2016, APPL CLAY SCI, V121, P127, DOI 10.1016/j.clay.2015.12.007; Montanez JP, 2015, J BRAZIL CHEM SOC, V26, P1191, DOI 10.5935/0103-5053.20150083; Murcia JJ, 2020, TOP CATAL, V63, P1286, DOI 10.1007/s11244-020-01232-z; Murcia JJ, 2020, VISIBLE LIGHT ACTIVE STRUCTURED PHOTOCATALYSTS FOR THE REMOVAL OF EMERGING CONTAMINANTS: SCIENCE AND ENGINEERING, P27, DOI 10.1016/B978-0-12-818334-2.00002-X; Nagao Y, 2010, APPL PHYS LETT, V97, DOI 10.1063/1.3507898; Ramesh AM, 2021, J ENVIRON CHEM ENG, V9, DOI 10.1016/j.jece.2021.105040; Ravikovitch PI, 2002, LANGMUIR, V18, P9830, DOI 10.1021/la026140z; Rawool SA, 2018, APPL CATAL B-ENVIRON, V221, P443, DOI 10.1016/j.apcatb.2017.09.004; Sim LC, 2013, INT J PHOTOENERGY, V2013, DOI 10.1155/2013/659013; Thommes M, 2015, PURE APPL CHEM, V87, P1051, DOI 10.1515/pac-2014-1117; Uddin MT, 2017, PHYS CHEM CHEM PHYS, V19, P19279, DOI 10.1039/c7cp01300k; Valente JS, 2011, APPL CATAL B-ENVIRON, V102, P276, DOI 10.1016/j.apcatb.2010.12.009; Wang JC, 2016, J HAZARD MATER, V311, P11, DOI 10.1016/j.jhazmat.2016.02.055; Yang KS, 2008, CHEM MATER, V20, P6528, DOI 10.1021/cm801741m; Yang SB, 2016, APPL SURF SCI, V383, P214, DOI 10.1016/j.apsusc.2016.04.142; Yu JG, 2009, J PHYS CHEM C, V113, P6743, DOI 10.1021/jp900136q; Zhang J, 2018, LECT N CHEM, V100, P1, DOI 10.1007/978-981-13-2113-9; Zhang J, 2014, J PHYS CHEM C, V118, P10824, DOI 10.1021/jp501214m; Zhang LX, 2017, J MATER SCI-MATER EL, V28, P6601, DOI 10.1007/s10854-017-6350-7</t>
  </si>
  <si>
    <t>PERGAMON-ELSEVIER SCIENCE LTD</t>
  </si>
  <si>
    <t>THE BOULEVARD, LANGFORD LANE, KIDLINGTON, OXFORD OX5 1GB, ENGLAND</t>
  </si>
  <si>
    <t>0045-6535</t>
  </si>
  <si>
    <t>1879-1298</t>
  </si>
  <si>
    <t>Chemosphere</t>
  </si>
  <si>
    <t>FEB</t>
  </si>
  <si>
    <t>10.1016/j.chemosphere.2022.137606</t>
  </si>
  <si>
    <t>JAN 2023</t>
  </si>
  <si>
    <t>Environmental Sciences</t>
  </si>
  <si>
    <t>Environmental Sciences &amp; Ecology</t>
  </si>
  <si>
    <t>8K7CM</t>
  </si>
  <si>
    <t>WOS:000923254900001</t>
  </si>
  <si>
    <t>Angulo-Saucedo, GA; Leon-Medina, JX; Pineda-Munoz, WA; Torres-Arredondo, MA; Tibaduiza, DA</t>
  </si>
  <si>
    <t>Angulo-Saucedo, Gilbert A.; Leon-Medina, Jersson X.; Pineda-Munoz, Wilman Alonso; Torres-Arredondo, Miguel Angel; Tibaduiza, Diego A.</t>
  </si>
  <si>
    <t>Damage Classification Using Supervised Self-Organizing Maps in Structural Health Monitoring</t>
  </si>
  <si>
    <t>structural health monitoring; machine learning; self-organizing maps; damage classification; principal component analysis; piezoelectric; data acquisition system</t>
  </si>
  <si>
    <t>NETWORKS; SYSTEM</t>
  </si>
  <si>
    <t>Improvements in computing capacity have allowed computers today to execute increasingly complex tasks. One of the main benefits of these improvements is the possibility of developing machine learning algorithms, of which the fields of application are extensive and varied. However, an area in which this type of algorithms acquires an increasing relevance is structural health monitoring (SHM), where inspection strategies and guided wave-based approaches make the evaluation of the structural conditions of an aircraft, vessel or building among others possible, by detecting and classifying existing damages. The use of sensors, data acquisition systems (DAQ) and computation has also allowed these damage detection and classification tasks to be carried out automatically. Despite today's advances, it is still necessary to continue with the development of more robust, reliable, and low-cost structural health monitoring systems. For this reason, this work contemplates three key points: (i) the configuration of a data acquisition system for signal gathering from an an active piezoelectric (PZT) sensor network; (ii) the development of a damage classification methodology based on signal processing techniques (normalization and PCA), from which the models that describe the structural conditions of the plate are built; and (iii) the use of machine learning algorithms, more specifically, three variants of the self-organizing maps called CPANN (counterpropagation artificial neural network), SKN (supervised Kohonen) and XYF (X-Y fused Kohonen). The data obtained allowed one to carry out an experimental validation of the damage classification methodology, to determine the presence of damages in two aluminum plates of different sizes, where masses were added to change the vibrational responses captured by the sensor network and a composite (CFRP) plate with real damages, such as delamination and cracks. This classification methodology allowed one to obtain excellent results by validating the usefulness of the SKN and XYF networks in damage classification tasks, showing overall accuracies of 73.75% and 72.5%, respectively, according to the cross-validation process. These percentages are higher than those obtained in comparison with other neural networks such as: kNN, discriminant analysis, classification trees, partial least square discriminant analysis, and backpropagation neural networks, when the cross-validation process was applied.</t>
  </si>
  <si>
    <t>[Angulo-Saucedo, Gilbert A.; Tibaduiza, Diego A.] Univ Nacl Colombia, Dept Elect &amp; Elect Engn, Cra 45 26-85, Bogota 111321, Colombia; [Leon-Medina, Jersson X.] Univ Politecn Catalunya UPC, Escola Engn Barcelona Est EEBE, Control Modeling Identificat &amp; Applicat CoDAlab, Dept Math, Campus Diagonal Besos CDB,Eduard Maristany 16, Barcelona 08019, Spain; [Leon-Medina, Jersson X.] Univ San Buenaventura Sede Bogota, Dept Mechatron Engn, Carrera 8H 172-20, Bogota 111156, Colombia; [Pineda-Munoz, Wilman Alonso] Univ Pedag &amp; Tecnol Colombia, Dept Electromech Engn, GENTE Grp, Tunja 150462, Colombia; [Torres-Arredondo, Miguel Angel] MAN Energy Solut SE, D-86153 Augsburg, Germany</t>
  </si>
  <si>
    <t>Universidad Nacional de Colombia; Universitat Politecnica de Catalunya; Universidad Pedagogica y Tecnologica de Colombia (UPTC)</t>
  </si>
  <si>
    <t>Leon-Medina, JX (corresponding author), Univ Politecn Catalunya UPC, Escola Engn Barcelona Est EEBE, Control Modeling Identificat &amp; Applicat CoDAlab, Dept Math, Campus Diagonal Besos CDB,Eduard Maristany 16, Barcelona 08019, Spain.;Leon-Medina, JX (corresponding author), Univ San Buenaventura Sede Bogota, Dept Mechatron Engn, Carrera 8H 172-20, Bogota 111156, Colombia.</t>
  </si>
  <si>
    <t>jersson.xavier.leon@upc.edu; jersson.xavier.leon@upc.edu; wilman.pineda@uptc.edu.co; miguel.torres@man-es.com; jersson.xavier.leon@upc.edu</t>
  </si>
  <si>
    <t>Burgos, Diego Alexander Tibaduiza/H-8327-2017; Pineda, Wilman A./P-2374-2017; Leon-Medina, Jersson X/K-4049-2013</t>
  </si>
  <si>
    <t>Burgos, Diego Alexander Tibaduiza/0000-0002-4498-596X; Pineda, Wilman A./0000-0003-3565-8526; Leon-Medina, Jersson X/0000-0002-9198-1996; Angulo Saucedo, Gilbert Andres/0000-0002-4093-7143</t>
  </si>
  <si>
    <t>Universidad Pedagogica y Tecnologica de Colombia (UPTC) for the DIN grant [01, 1357]</t>
  </si>
  <si>
    <t>Universidad Pedagogica y Tecnologica de Colombia (UPTC) for the DIN grant</t>
  </si>
  <si>
    <t>This research was funded by Universidad Pedagogica y Tecnologica de Colombia (UPTC) for the DIN grant #01 of 2021 Investigar te da mas-Estimulo economico a grupos de investigacion por productividad resultado de proyectos de investigacion for the research group Grupo de investigacion en Energia y Nuevas Tecnologias-GENTE under Contract 1357.</t>
  </si>
  <si>
    <t>Alamdari MM, 2017, MECH SYST SIGNAL PR, V87, P384, DOI 10.1016/j.ymssp.2016.10.033; Anaya M, 2017, INT J BIO-INSPIR COM, V9, P35, DOI 10.1504/IJBIC.2017.081843; Anaya M, 2014, SMART MATER STRUCT, V23, DOI 10.1088/0964-1726/23/4/045006; Andhale YS, 2019, INT J ACOUST VIB, V24, P150, DOI 10.20855/ijav.2019.24.11485; Avci O., 2020, ARXIV PREPRINT ARXIV, DOI 10.1016/j.ymssp.2020.107077; Avci O, 2020, C PROC SOC EXP MECH, P237, DOI 10.1007/978-3-030-12684-1_24; Ballabio D, 2013, ANAL METHODS-UK, V5, P3790, DOI 10.1039/c3ay40582f; Ballabio D, 2012, CHEMOMETR INTELL LAB, V118, P24, DOI 10.1016/j.chemolab.2012.07.005; Ballabio D, 2009, CHEMOMETR INTELL LAB, V98, P115, DOI 10.1016/j.chemolab.2009.05.007; Bhattacharyya M, 2016, 2016 IEEE INTERNATIONAL CONFERENCE ON COMPUTING, COMMUNICATION AND AUTOMATION (ICCCA), P949, DOI 10.1109/CCAA.2016.7813875; Baptista FG, 2010, IEEE T ULTRASON FERR, V57, P933, DOI 10.1109/TUFFC.2010.1497; Bermes C., 2006, THESIS GEORGIA I TEC; Betti M, 2015, MECCANICA, V50, P875, DOI 10.1007/s11012-014-0085-9; Buethe I, 2012, KEY ENG MATER, V518, P37, DOI 10.4028/www.scientific.net/KEM.518.37; Chapuis B., 2018, SENSORS ALGORITHMS A, P105; Comisu CC, 2017, PROCEDIA ENGINEER, V199, P2054, DOI 10.1016/j.proeng.2017.09.472; Farrar C., 2012, STRUCT HEALTH MONIT, P53, DOI [10.1002/9781118443118.ch4, DOI 10.1002/9781118443118.CH4]; Freeman J. A., 1991, NEURAL NETWORKS ALGO; Graupe D., 2013, PRINCIPLES ARTIFICIA, P185, DOI [10.1142/9789814522748_0008, DOI 10.1142/9789814522748_0008]; Jiang SF, 2013, INT J DISTRIB SENS N, DOI 10.1155/2013/850712; Johnson J., 2016, INFORM COMMUNICATION; Jolliffe I. T., 2013, PRINCIPAL COMPONENT; KOHONEN T, 1990, P IEEE, V78, P1464, DOI 10.1109/5.58325; Kohonen T, 1996, SOM PAK SELF ORG MAP; Lee EWM, 2011, MECH ADV MATER STRUC, V18, P590, DOI 10.1080/15376494.2011.621838; Lee J, 2007, J INTEL MAT SYST STR, V18, P785, DOI 10.1177/1045389X06073640; Malekloo A, 2022, STRUCT HEALTH MONIT, V21, P1906, DOI 10.1177/14759217211036880; Melssen W, 2006, CHEMOMETR INTELL LAB, V83, P99, DOI 10.1016/j.chemolab.2006.02.003; Milano Chemometrics and QSAR Research Group, 2021, KOH CPANN TOOLB MATL; Mujica LE, 2011, STRUCT HEALTH MONIT, V10, P539, DOI 10.1177/1475921710388972; National Instruments, 2021, WHAT IS LABVIEW; Ng CT, 2014, AUST J STRUCT ENG, V15, P27, DOI 10.7158/S12-042.2014.15.1; Nick William, 2015, International Journal of Machine Learning and Computing, V5, P313, DOI 10.7763/IJMLC.2015.V5.526; Oliveira Junior Pedro, 2020, Procedia CIRP, V88, P330, DOI 10.1016/j.procir.2020.05.057; Oshana R., 2006, DSP SOFTWARE DEV TEC; Palit M, 2010, ANAL CHIM ACTA, V675, P8, DOI 10.1016/j.aca.2010.06.036; Pozo F., 2017, P 8 C SMART STRUCT S, P698; Qing XL, 2019, SENSORS-BASEL, V19, DOI 10.3390/s19030545; Qiu JF, 2016, EURASIP J ADV SIG PR, DOI 10.1186/s13634-016-0355-x; Rostami J, 2017, SENSORS-BASEL, V17, DOI 10.3390/s17020302; Rytter A., 1993, THESIS; Santa Barletta V, 2020, APPL SCI-BASEL, V10, DOI 10.3390/app10155062; Sharma V, 2000, J MACH LEARN RES, V1, P1; Shi A., 2015, STRUCTURAL DAMAGE AS; Sousa H, 2011, STRUCT CONCRETE, V12, P82, DOI 10.1002/suco.201000014; Tasdemir K, 2011, LECT NOTES COMPUT SC, V6731, P71, DOI 10.1007/978-3-642-21566-7_7; Burgos DAT, 2020, SENSORS-BASEL, V20, DOI 10.3390/s20030733; Tibaduiza D, 2016, IOP CONF SER-MAT SCI, V138, DOI 10.1088/1757-899X/138/1/012016; Tibaduiza D., 2013, THESIS U POLITECNICA; Tibaduiza DA, 2013, STRUCT CONTROL HLTH, V20, P1303, DOI 10.1002/stc.1540; Tibaduiza DA, 2013, MECH SYST SIGNAL PR, V41, P467, DOI 10.1016/j.ymssp.2013.05.020; Tibaduiza D, 2018, COMPLEXITY, DOI 10.1155/2018/5081283; Torres-Arredondo MA, 2013, SMART MATER STRUCT, V22, DOI 10.1088/0964-1726/22/10/105023; Ullah A, 2020, SENSORS-BASEL, V20, DOI 10.3390/s20030873; Usama M, 2019, IEEE ACCESS, V7, P65579, DOI 10.1109/ACCESS.2019.2916648; Villamizar R., 2014, ADV TRENDS SOFT COMP, P347; Vitola J., 2016, P 8 EUR WORKSH STRUC, V4, P2853; Vitola J, 2017, SENSORS-BASEL, V17, DOI 10.3390/s17061252; Vitola J, 2017, SENSORS-BASEL, V17, DOI 10.3390/s17020417; Wang SL, 2020, SENSORS-BASEL, V20, DOI 10.3390/s20030860; Xiao W., 2012, STRUCTURAL HLTH MONI; Yuan F., 2016, STRUCTURAL HLTH MONI, P3, DOI [10.1016/B978-0-08-100148-6.00001-9, DOI 10.1016/B978-0-08-100148-6.00001-9]; Zeinali Y, 2016, PROCEDIA ENGINEER, V145, P868, DOI 10.1016/j.proeng.2016.04.113; Zhang J., J STRUCTURES, V2014, DOI [10. 1155/2014/709127, DOI 10.1155/2014/709127]</t>
  </si>
  <si>
    <t>10.3390/s22041484</t>
  </si>
  <si>
    <t>ZW8PD</t>
  </si>
  <si>
    <t>WOS:000771467600001</t>
  </si>
  <si>
    <t>Suarez, H; Reyes, A</t>
  </si>
  <si>
    <t>Suarez, Hector; Reyes, Armando</t>
  </si>
  <si>
    <t>S-Semicommutative rings and their skew PBW extensions</t>
  </si>
  <si>
    <t>SAO PAULO JOURNAL OF MATHEMATICAL SCIENCES</t>
  </si>
  <si>
    <t>Semicommutative ring; Baer ring; Skew PBW extension; Spectrum</t>
  </si>
  <si>
    <t>TOPOLOGICAL CONDITIONS; POLYNOMIAL EXTENSIONS; IDEALS; BAER; ARMENDARIZ; PROPERTY</t>
  </si>
  <si>
    <t>In this paper, we introduce the concept of S-semicommutative ring for S a finite family of endomorphisms of a ring R. We relate this class of rings with other classes of rings such as Abelian, reduced, S-rigid, nil-reversible and rings satisfying the S-skew reflexive nilpotent property. Also, we study some ring-theoretical properties of skew PBW extensions over S-semicommutative rings. We prove that if a ring R is S-semicommutative with certain conditions of compatibility on derivations, then for every skew PBW extension A over R, R is Baer if and only if R is quasi-Baer, and equivalently, A is quasi-Baer if and only if A is Baer. Finally, we consider some topological conditions for skew PBW extensions over S-semicommutative rings.</t>
  </si>
  <si>
    <t>[Suarez, Hector] Univ Pedag &amp; Tecnol Colombia Sede Tunja, Escuela Matemat &amp; Estadist, Grp Algebra &amp; Anal, Tunja, Colombia; [Suarez, Hector; Reyes, Armando] Campus Univ, Tunja, Colombia; [Reyes, Armando] Univ Nacl Colombia, Dept Matemat, Bogota, Colombia</t>
  </si>
  <si>
    <t>Suarez, H (corresponding author), Univ Pedag &amp; Tecnol Colombia Sede Tunja, Escuela Matemat &amp; Estadist, Grp Algebra &amp; Anal, Tunja, Colombia.;Suarez, H (corresponding author), Campus Univ, Tunja, Colombia.</t>
  </si>
  <si>
    <t>hector.suarez@uptc.edu.co; mareyesv@unal.edu.co</t>
  </si>
  <si>
    <t>Suárez, Héctor/ABD-9214-2020</t>
  </si>
  <si>
    <t>Suárez, Héctor/0000-0003-4618-0599</t>
  </si>
  <si>
    <t>Vicerrectoria de Investigacion y Extension [SGI 3334]; Universidad Pedagogica y Tecnologica de Colombia, Tunja, Colombia; research fund of Faculty of Science [HERMES 52464]; Universidad Nacional de Colombia - Sede Bogota, Colombia</t>
  </si>
  <si>
    <t>Vicerrectoria de Investigacion y Extension; Universidad Pedagogica y Tecnologica de Colombia, Tunja, Colombia; research fund of Faculty of Science; Universidad Nacional de Colombia - Sede Bogota, Colombia</t>
  </si>
  <si>
    <t>The first author was supported by Vicerrectoria de Investigacion y Extension, Code SGI 3334, Universidad Pedagogica y Tecnologica de Colombia, Tunja, Colombia. The second author was supported by the research fund of Faculty of Science, Code HERMES 52464, Universidad Nacional de Colombia - Sede Bogota, Colombia.</t>
  </si>
  <si>
    <t>Alhevaz A, 2012, J ALGEBRA APPL, V11, DOI 10.1142/S021949881250079X; Anderson DD, 1999, COMMUN ALGEBRA, V27, P2847, DOI 10.1080/00927879908826596; Annin S, 2004, J ALGEBRA APPL, V3, P193, DOI 10.1142/S0219498804000782; ARMENDARIZ EP, 1987, COMMUN ALGEBRA, V15, P2633, DOI 10.1080/00927878708823556; Artamonov VA, 2015, COMMUN MATH STAT, V3, P449, DOI 10.1007/s40304-015-0067-9; Baser M, 2008, B KOREAN MATH SOC, V45, P285, DOI 10.4134/BKMS.2008.45.2.285; BELL AD, 1988, PAC J MATH, V131, P13, DOI 10.2140/pjm.1988.131.13; Bell HE., 1970, B AUST MATH SOC, V2, P363, DOI DOI 10.1017/S0004972700042052; Birkenmeier G.F., 1993, RING THEORY, P102; Birkenmeier GF, 2001, J PURE APPL ALGEBRA, V159, P25, DOI 10.1016/S0022-4049(00)00055-4; Birkenmeier GF., 2013, EXTENSIONS RINGS MOD, DOI [10.1007/978-0-387-92716-9, DOI 10.1007/978-0-387-92716-9]; CLARK WE, 1967, DUKE MATH J, V34, P417, DOI 10.1215/S0012-7094-67-03446-1; Cohn PM, 1999, B LOND MATH SOC, V31, P641, DOI 10.1112/S0024609399006116; Fajardo W., 2020, SKEW PBW EXTENSIONS; Gallego C, 2011, COMMUN ALGEBRA, V39, P50, DOI 10.1080/00927870903431209; Goodearl K. R., 2004, INTRO NONCOMMUTATIVE, V61; Habeb JM., 1990, MATH J OKAYAMA U, V32, P73; Hamidizadeh M, 2020, INT ELECTRON J ALGEB, V28, P75, DOI 10.24330/ieja.768178; Hashemi E, 2005, ACTA MATH HUNG, V107, P207, DOI 10.1007/s10474-005-0191-1; Hashemi E, 2017, KYUNGPOOK MATH J, V57, P401, DOI 10.5666/KMJ.2017.57.3.401; Hirano Y, 2002, J PURE APPL ALGEBRA, V168, P45, DOI 10.1016/S0022-4049(01)00053-6; Hirano Y, 2001, COMMUN ALGEBRA, V29, P2089, DOI 10.1081/AGB-100002171; Hwang SU, 2006, J ALGEBRA, V302, P186, DOI 10.1016/j.jalgebra.2006.02.032; Jiang MM, 2019, TURK J MATH, V43, P44, DOI 10.3906/mat-1805-103; Kaplansky, 1968, MATH LECT NOTE SERIE; Kim N, 2006, COMMUN ALGEBRA, V34, P37, DOI 10.1080/00927870500345901; Kim NK, 2014, TAIWAN J MATH, V18, P849, DOI 10.11650/tjm.18.2014.3325; Krempa J., 1996, ALGEBR COLLOQ, V3, P289; Kwak TK, 2012, COMMUN ALGEBRA, V40, P1576, DOI 10.1080/00927872.2011.554474; LAMBEK J, 1971, CAN MATH BULLETIN, V14, P359, DOI 10.4153/CMB-1971-065-1; Lezama O, 2021, COMMUN MATH STAT, V9, P347, DOI 10.1007/s40304-021-00238-7; Lezama O, 2015, REV UNION MAT ARGENT, V56, P39; Lezama O, 2014, COMMUN ALGEBRA, V42, P1200, DOI 10.1080/00927872.2012.735304; Louzari Mohamed, 2020, Rev.colomb.mat., V54, P39; Marks G, 2002, J PURE APPL ALGEBRA, V174, P311, DOI 10.1016/S0022-4049(02)00070-1; Marks G, 2001, COMMUN ALGEBRA, V29, P2113, DOI 10.1081/AGB-100002173; Mohammadi R, 2016, J KOREAN MATH SOC, V53, P381, DOI 10.4134/JKMS.2016.53.2.381; Ore O, 1933, ANN MATH, V34, P480, DOI 10.2307/1968173; Lezama JO, 2020, COMMUN ALGEBRA, V48, P866, DOI 10.1080/00927872.2019.1666404; Ouyang LQ, 2010, COMMUN ALGEBRA, V38, P697, DOI 10.1080/00927870902828702; Rege MB, 1997, P JPN ACAD A-MATH, V73, P14, DOI 10.3792/pjaa.73.14; Reyes A, 2021, ALGEBRA DISCRET MATH, V32, P76, DOI 10.12958/adm1767; Reyes A, 2020, J ALGEBRA APPL, V19, DOI 10.1142/S0219498820502254; Reyes A, 2021, COMMUN MATH STAT, V9, P119, DOI 10.1007/s40304-019-00189-0; Reyes A, 2021, COMMUN MATH STAT, V9, P1, DOI 10.1007/s40304-019-00184-5; Reyes A, 2019, BEITR ALGEBR GEOM, V60, P197, DOI 10.1007/s13366-018-0412-8; Reyes A, 2018, REV UNION MAT ARGENT, V59, P157; Reyes A, 2017, ADV APPL CLIFFORD AL, V27, P3197, DOI 10.1007/s00006-017-0800-4; REYES ARMANDO, 2015, Integración - UIS, V33, P173; Rowen LH., 1991, RING THEORY; SHIN G, 1973, T AM MATH SOC, V184, P43, DOI 10.2307/1996398; Suarez H., 2021, PREPRINT; Suarez H, 2022, COMMUN ALGEBRA, V50, P3261, DOI 10.1080/00927872.2022.2028799; SUÁREZ HÉCTOR, 2017, Rev.colomb.mat., V51, P221; Suarez H, 2017, COMMUN ALGEBRA, V45, P4569, DOI 10.1080/00927872.2016.1272694; SUN SH, 1991, J PURE APPL ALGEBRA, V76, P179, DOI 10.1016/0022-4049(91)90060-F; Gomez JY, 2020, COMMUN ALGEBRA, V48, P185, DOI 10.1080/00927872.2019.1635610; Zhao L, 2013, MATH SLOVACA, V63, P417, DOI 10.2478/s12175-013-0106-5</t>
  </si>
  <si>
    <t>SPRINGER INT PUBL AG</t>
  </si>
  <si>
    <t>CHAM</t>
  </si>
  <si>
    <t>GEWERBESTRASSE 11, CHAM, CH-6330, SWITZERLAND</t>
  </si>
  <si>
    <t>1982-6907</t>
  </si>
  <si>
    <t>2316-9028</t>
  </si>
  <si>
    <t>SAO PAULO J MATH SCI</t>
  </si>
  <si>
    <t>Sao Paulo J. Math. Sci.</t>
  </si>
  <si>
    <t>2023 APR 14</t>
  </si>
  <si>
    <t>10.1007/s40863-023-00356-w</t>
  </si>
  <si>
    <t>APR 2023</t>
  </si>
  <si>
    <t>D9JA2</t>
  </si>
  <si>
    <t>Green Submitted</t>
  </si>
  <si>
    <t>WOS:000971804400001</t>
  </si>
  <si>
    <t>Alfaro-Garcia, VG; Blanco-Mesa, F; Castro, EL</t>
  </si>
  <si>
    <t>Alfaro-Garcia, Victor G.; Blanco-Mesa, Fabio; Leon Castro, Ernesto</t>
  </si>
  <si>
    <t>Entrepreneurial intention a bibliometric approach</t>
  </si>
  <si>
    <t>CUADERNOS DE GESTION</t>
  </si>
  <si>
    <t>Bibliometric Analysis; Entrepreneurial Intention; Entrepreneurship; Co-Citation</t>
  </si>
  <si>
    <t>SELF-EFFICACY; CITATION ANALYSIS; STUDENTS; EDUCATION; DETERMINANTS; PERCEPTIONS; SCIENCE; GENDER; IMPACT; INDEX</t>
  </si>
  <si>
    <t>This paper aims to present a bibliometric analysis of the literature on an entrepreneurial intention that considers different topics to enhance starting a business. Using the Core collection of the Web of Science, 1,549 papers are found from 1900 to December 2020 to be analyzed. The analysis is focused on documents, authors, journals, countries, and keywords to detect areas and trends in this field of study. Likewise, bibliographic couplings, co-citation, and co-occurrences are analyzed. Findings show that the field has started to grow since 2010; the most influential authors and universities are in Spain and Taiwan, such as the case of Lilian, Liang, Ip, and Moriano.</t>
  </si>
  <si>
    <t>[Alfaro-Garcia, Victor G.] Univ Michoacana, Calle Santiago Tapia 403, Morelia 58000, Michoacan, Mexico; [Blanco-Mesa, Fabio] Univ Pedag &amp; Tecnol Colombia, Ave Cent Norte 39-115, Tunja 150003, Boyaca, Colombia</t>
  </si>
  <si>
    <t>Universidad Michoacana de San Nicolas de Hidalgo; Universidad Pedagogica y Tecnologica de Colombia (UPTC)</t>
  </si>
  <si>
    <t>Castro, EL (corresponding author), Univ Catolica Santisima, Concepcion, Chile.</t>
  </si>
  <si>
    <t>victor.alfaro@umich.mx; fabio.blanco01@uptc.edu.co; eleon@ucsc.cl</t>
  </si>
  <si>
    <t>Leon-Castro, Ernesto/AAD-2628-2021; Blanco-Mesa, Fabio/K-7225-2012</t>
  </si>
  <si>
    <t>Leon-Castro, Ernesto/0000-0002-0087-2226; Blanco-Mesa, Fabio/0000-0002-9462-6498; Alfaro Garcia, Victor Gerardo/0000-0002-0412-2166</t>
  </si>
  <si>
    <t>Universidad Pedagogica y Tecnologica de Colombia [SGI 3134]; Chilean Government through FONDECYT initiation [11190056]; Red Sistemas Inteligentes y Expertos Modelos Computacionales Iberoamericanos (SIEMCI) in Programa Iberoamericano de Ciencia y Tecnologia para el Desarrollo (CYTED) [522RT0130]</t>
  </si>
  <si>
    <t>Universidad Pedagogica y Tecnologica de Colombia; Chilean Government through FONDECYT initiation; Red Sistemas Inteligentes y Expertos Modelos Computacionales Iberoamericanos (SIEMCI) in Programa Iberoamericano de Ciencia y Tecnologia para el Desarrollo (CYTED)</t>
  </si>
  <si>
    <t>This research was funded by Universidad Pedagogica y Tecnologica de Colombia, grant number SGI 3134, and the Chilean Government through FONDECYT initiation, grant number 11190056. Research supported by Red Sistemas Inteligentes y Expertos Modelos Computacionales Iberoamericanos (SIEMCI), project number 522RT0130 in Programa Iberoamericano de Ciencia y Tecnologia para el Desarrollo (CYTED)</t>
  </si>
  <si>
    <t>AJZEN I, 1991, ORGAN BEHAV HUM DEC, V50, P179, DOI 10.1016/0749-5978(91)90020-T; Ali A, 2019, J GLOB ENTREP RES, V9, DOI 10.1186/s40497-019-0193-z; Alonso S, 2009, J INFORMETR, V3, P273, DOI 10.1016/j.joi.2009.04.001; Anggadwita G, 2021, SERV BUS, V15, P309, DOI 10.1007/s11628-021-00444-x; Apasieva TJ, 2021, EKON PREGL, V72, P157, DOI 10.32910/ep.72.2.1; Bacq S, 2018, J BUS VENTURING, V33, P333, DOI 10.1016/j.jbusvent.2018.01.004; Bae TJ, 2014, ENTREP THEORY PRACT, V38, P217, DOI 10.1111/etap.12095; Baloglu S, 1999, ANN TOURISM RES, V26, P868, DOI 10.1016/S0160-7383(99)00030-4; Bar-Ilan J, 2008, J INFORMETR, V2, P1, DOI 10.1016/j.joi.2007.11.001; Blanco-Mesa F, 2017, J INTELL FUZZY SYST, V32, P2033, DOI 10.3233/JIFS-161640; Braun T, 2006, SCIENTOMETRICS, V69, P169, DOI 10.1007/s11192-006-0147-4; Bruton GD, 2010, ENTREP THEORY PRACT, V34, P421, DOI 10.1111/j.1540-6520.2010.00390.x; Cai L, 2021, FRONT BUS RES CHINA, V15, DOI 10.1186/s11782-021-00103-y; Chu CC, 2020, FRONT PSYCHOL, V11, DOI 10.3389/fpsyg.2020.547627; Diaz-Garcia MC, 2010, INT ENTREP MANAG J, V6, P261, DOI 10.1007/s11365-008-0103-2; Cavalcante MAD, 2022, J EDUC BUS, V97, P228, DOI 10.1080/08832323.2021.1924602; Di Paola N, 2021, J TECHNOL TRANSFER, V46, P1417, DOI 10.1007/s10961-020-09824-3; DiMaggio P., 1988, I PATTERNS ORG CULTU, P3, DOI DOI 10.1080/09638180.2010.496550; Farhangmehr M, 2016, EDUC TRAIN, V58, P861, DOI 10.1108/ET-01-2016-0019; Fayolle A, 2015, J SMALL BUS MANAGE, V53, P75, DOI 10.1111/jsbm.12065; Fayolle A, 2014, J BUS RES, V67, P663, DOI 10.1016/j.jbusres.2013.11.024; Ferreira JJ, 2017, INNOV TECH KNOWL MAN, P19, DOI 10.1007/978-3-319-47949-1_2; Gabay-Mariani L, 2021, INT J ENTREP BEHAV R, V27, P1214, DOI 10.1108/IJEBR-09-2020-0652; GARFIELD E, 1972, SCIENCE, V178, P471, DOI 10.1126/science.178.4060.471; Gasse Y, 2011, INT J BUS, V16, P303; Gaviria-Marin M, 2021, INQUIET EMPRESARIAL, V21, pI; Guan J, 2008, SCIENTOMETRICS, V75, P357, DOI 10.1007/s11192-007-1871-0; Gupta VK, 2009, ENTREP THEORY PRACT, V33, P397, DOI 10.1111/j.1540-6520.2009.00296.x; Gurel E, 2021, EDUC TRAIN, V63, P777, DOI 10.1108/ET-08-2019-0190; Hirsch JE, 2005, P NATL ACAD SCI USA, V102, P16569, DOI 10.1073/pnas.0507655102; Hockerts K, 2017, ENTREP THEORY PRACT, V41, P105, DOI 10.1111/etap.12171; Huang Y, 2020, SOC BEHAV PERSONAL, V48, DOI 10.2224/sbp.9451; Ilyas M, 2020, INT TRANS J ENG MANA, V11, DOI 10.14456/ITJEMAST.2020.167; Lopez-Nunez MI, 2021, REV EDUC-MADRID, P11, DOI 10.4438/1988-592X-RE2-2021-392-477; Kautonen T, 2011, SMALL BUS ECON, V37, P219, DOI 10.1007/s11187-009-9238-y; Krasniqi BA, 2019, J GLOB ENTREP RES, V9, DOI 10.1186/s40497-019-0200-4; Krueger NF, 2000, J BUS VENTURING, V15, P411, DOI 10.1016/S0883-9026(98)00033-0; Leiva JC, 2021, ACAD-REV LATINOAM AD, V34, P399, DOI 10.1108/ARLA-05-2020-0106; Linan F, 2015, INT ENTREP MANAG J, V11, P907, DOI 10.1007/s11365-015-0356-5; Linan F, 2009, ENTREP THEORY PRACT, V33, P593, DOI 10.1111/j.1540-6520.2009.00318.x; Liu WS, 2019, SCIENTOMETRICS, V121, P1815, DOI 10.1007/s11192-019-03238-1; Lopez T, 2021, ACAD-REV LATINOAM AD, V34, P419, DOI 10.1108/ARLA-07-2020-0169; Tan LP, 2020, J SOC ENTREP, V11, P241, DOI 10.1080/19420676.2019.1640770; Malebana MJ, 2016, SOUTH AFR BUS REV, V20, P51; Merigo JM, 2017, INT J INTELL SYST, V32, P526, DOI 10.1002/int.21859; Moed HF, 2009, ARCH IMMUNOL THER EX, V57, P13, DOI 10.1007/s00005-009-0001-5; Mohammed SASA, 2021, SMART-J BUS MANAG ST, V17, P66, DOI 10.5958/2321-2012.2021.00007.5; Neves S, 2020, J MANAG DEV, V39, P645, DOI 10.1108/JMD-11-2019-0451; Ha NT, 2020, J ASIAN FINANC ECON, V7, P671, DOI 10.13106/jafeb.2020.vol7.no8.671; Patra BC, 2022, J PUBLIC AFF, V22, DOI 10.1002/pa.2429; Perez Romero M. E., 2021, INQUIET EMPRESARIAL, V21, P55, DOI [10.19053/01211048.11476, DOI 10.19053/01211048.11476]; Perez-Macias N, 2021, J INT ENTREP, V19, P434, DOI 10.1007/s10843-020-00280-6; Peterman NE, 2003, ENTREP THEORY PRACT, V28, P129, DOI 10.1046/j.1540-6520.2003.00035.x; Phillips N., 2016, OPPORTUNITY RECOGNIT, V5, P313, DOI 10.1177/1476127007079956; Barrios GRE, 2022, J EDUC BUS, V97, P176, DOI 10.1080/08832323.2021.1918615; Ruiz-Alba JL, 2021, J SMALL BUS ENTERP D, V28, P121, DOI 10.1108/JSBED-07-2019-0221; Schlaegel C, 2014, ENTREP THEORY PRACT, V38, P291, DOI 10.1111/etap.12087; Schubert A, 2007, SCIENTOMETRICS, V70, P201, DOI 10.1007/s11192-007-0112-x; Shane S, 2000, ACAD MANAGE REV, V25, P217, DOI 10.5465/amr.2000.2791611; Shane S., 2003, GEN THEORY ENTREPREN; Shapero A., 1984, ENTREPRENEURIAL EVEN; Shinnar RS, 2012, ENTREP THEORY PRACT, V36, P465, DOI 10.1111/j.1540-6520.2012.00509.x; Solorzano-Garcia M, 2022, INTERACT LEARN ENVIR, V30, P1768, DOI 10.1080/10494820.2020.1769680; Souitaris V, 2007, J BUS VENTURING, V22, P566, DOI 10.1016/j.jbusvent.2006.05.002; Sousa-Filho J. M. de, 2020, J BUS VENTURING INSI, V14, DOI [10.1016/j.jbvi.2020.e00207, DOI 10.1016/J.JBVI.2020.E00207]; Tiwari P, 2017, J GLOB ENTREP RES, V7, DOI 10.1186/s40497-017-0067-1; Tiwari P, 2017, S ASIAN J BUS STUD, V6, P53, DOI 10.1108/SAJBS-04-2016-0032; Torres FC, 2017, INT J PSYCHOL RES, V10, P46, DOI 10.21500/20112084.2794; WEINBERG BH, 1974, INFORM STORAGE RET, V10, P189, DOI 10.1016/0020-0271(74)90058-8; Wilson F, 2007, ENTREP THEORY PRACT, V31, P387, DOI 10.1111/j.1540-6520.2007.00179.x; Ye YH, 2013, SOC BEHAV PERSONAL, V41, P1125, DOI 10.2224/sbp.2013.41.7.1125; Yousaf U, 2021, INT J INOV SCI, V13, P364, DOI 10.1108/IJIS-09-2020-0133; Zhao H, 2005, J APPL PSYCHOL, V90, P1265, DOI 10.1037/0021-9010.90.6.1265; Zhao H, 2010, J MANAGE, V36, P381, DOI 10.1177/0149206309335187; Zichella G, 2020, J MANAG DEV, V39, P989, DOI 10.1108/JMD-01-2019-0013; 2019, APPL SOFT COMPUT, V81</t>
  </si>
  <si>
    <t>UNIV PAIS VASCO, INST ECONOMIA APLICADA EMPRESA</t>
  </si>
  <si>
    <t>BILBAO</t>
  </si>
  <si>
    <t>AVE LEHENDAKARI AGIRRE, 8, BILBAO, 48015, SPAIN</t>
  </si>
  <si>
    <t>1131-6837</t>
  </si>
  <si>
    <t>1988-2157</t>
  </si>
  <si>
    <t>CUAD GEST</t>
  </si>
  <si>
    <t>Cuad. Gest.</t>
  </si>
  <si>
    <t>10.5295/cdg.211558el</t>
  </si>
  <si>
    <t>Business; Business, Finance</t>
  </si>
  <si>
    <t>1K4DZ</t>
  </si>
  <si>
    <t>gold, Green Submitted</t>
  </si>
  <si>
    <t>WOS:000765439100001</t>
  </si>
  <si>
    <t>Estupinan-Amaya, M; Fuenmayor, CA; Lopez-Cordoba, A</t>
  </si>
  <si>
    <t>Estupinan-Amaya, Mauren; Alberto Fuenmayor, Carlos; Lopez-Cordoba, Alex</t>
  </si>
  <si>
    <t>Evaluation of mixtures of maltodextrin and gum Arabic for the encapsulation of Andean blueberry (Vaccinium meridionale) juice by freeze-drying</t>
  </si>
  <si>
    <t>INTERNATIONAL JOURNAL OF FOOD SCIENCE AND TECHNOLOGY</t>
  </si>
  <si>
    <t>Anthocyanins; antioxidants; berries; fruit juices; maltodextrin</t>
  </si>
  <si>
    <t>PHENOLIC-COMPOUNDS; WALL MATERIALS; ANTIOXIDANT; MICROENCAPSULATION; SPRAY; ANTHOCYANINS; STABILITY; OPTIMIZATION; EXTRACTS; SWARTZ</t>
  </si>
  <si>
    <t>Andean blueberry fruit is considered a source of bioactive compounds. However, its industrial applications as an ingredient are limited due to its low stability. In this work, Andean blueberry juice powders were obtained via freeze-drying. The effects of maltodextrin (MD) and gum Arabic (GA) as encapsulating agents were evaluated on the morphological, physicochemical, and rheological quality of the products, as well as in terms of the recovery of phenolic compounds. All the freeze-dried powders featured typical macroscopic and microscopic morphology, low moisture content (&lt;5%) and water activity (a(w) &lt; 0.3), high water solubility (&gt;91%) and good flowability. The encapsulation with MD overall favoured higher water activity, solubility and flowability, and a significant increase of total phenolics recovery in the juice powders, compared with GA or GA:MD mixtures. The results showed that encapsulation by freeze-drying enables the production of Andean blueberry juice powders with suitable technological characteristics and potential as bioactive ingredients.</t>
  </si>
  <si>
    <t>[Estupinan-Amaya, Mauren; Lopez-Cordoba, Alex] Univ Pedag &amp; Tecnol Colombia, Escuela Adm Empresas Agr, Fac Secc Duitama, Carrera 18 Con Calle 22, Duitama 150461, Boyaca, Colombia; [Estupinan-Amaya, Mauren; Alberto Fuenmayor, Carlos] Univ Nacl Colombia, Inst Ciencia &amp; Tecnol Alimentos ICTA, Av Carrera 30 45-03, Bogota 111321, Colombia</t>
  </si>
  <si>
    <t>Lopez-Cordoba, A (corresponding author), Univ Pedag &amp; Tecnol Colombia, Escuela Adm Empresas Agr, Fac Secc Duitama, Carrera 18 Con Calle 22, Duitama 150461, Boyaca, Colombia.;Fuenmayor, CA (corresponding author), Univ Nacl Colombia, Inst Ciencia &amp; Tecnol Alimentos ICTA, Av Carrera 30 45-03, Bogota 111321, Colombia.</t>
  </si>
  <si>
    <t>cafuenmayorb@unal.edu.co; alex.lopez01@uptc.edu.co</t>
  </si>
  <si>
    <t>Fuenmayor, Carlos Alberto/0000-0001-9338-8312</t>
  </si>
  <si>
    <t>Colombian Ministry of Science, Technology and Innovation (Minciencias); Government of the Boyaca Department; Colombia Bio programme; Fondo de Ciencia, Tecnologia e Innovacion del Sistema General de Regalias [66038]; Fondo Nacional de Financiamiento para la Ciencia, la Tecnologia y la Innovacion Francisco Jose de Caldas [66038]; Universidad Pedagogica y Tecnologica de Colombia (UPTC)</t>
  </si>
  <si>
    <t>Colombian Ministry of Science, Technology and Innovation (Minciencias); Government of the Boyaca Department; Colombia Bio programme; Fondo de Ciencia, Tecnologia e Innovacion del Sistema General de Regalias; Fondo Nacional de Financiamiento para la Ciencia, la Tecnologia y la Innovacion Francisco Jose de Caldas; Universidad Pedagogica y Tecnologica de Colombia (UPTC)</t>
  </si>
  <si>
    <t>The Colombian Ministry of Science, Technology and Innovation (Minciencias), the Government of the Boyaca Department, and the Colombia Bio programme funded this work with resources of Fondo de Ciencia, Tecnologia e Innovacion del Sistema General de Regalias and Fondo Nacional de Financiamiento para la Ciencia, la Tecnologia y la Innovacion Francisco Jose de Caldas (Project number 66038). The authors thank Universidad Pedagogica y Tecnologica de Colombia (UPTC), for supporting the project and providing its facilities for the experimental work, and the staff of ICTA (Universidad Nacional de Colombia, Bogota), in particular Mrs. Cristina Lizarazo and Mr. Jorge Sandoval, for their technical support and guidance.</t>
  </si>
  <si>
    <t>Adetoro AO, 2020, FOODS, V9, DOI 10.3390/foods9101388; Pellicer JA, 2019, POWDER TECHNOL, V347, P179, DOI 10.1016/j.powtec.2019.03.010; Arango-Varela SS, 2022, FOOD RES INT, V157, DOI 10.1016/j.foodres.2022.111244; Arango-Varela SS, 2021, J FOOD BIOCHEM, V45, DOI 10.1111/jfbc.13760; Archaina D, 2019, J FOOD PROCESS PRES, V43, DOI 10.1111/jfpp.14065; Ballesteros LF, 2017, FOOD CHEM, V237, P623, DOI 10.1016/j.foodchem.2017.05.142; Barbosa Canovas G.V., 2005, FOOD POWDERS PHYS PR, DOI [10.1007/s13398-014-0173-7.2, DOI 10.1007/S13398-014-0173-7.2]; BRAND-WILLIAMS W, 1995, FOOD SCI TECHNOL-LEB, V28, P25; Bravo K, 2016, IND CROP PROD, V85, P341, DOI 10.1016/j.indcrop.2015.12.074; da Rosa CG, 2014, LWT-FOOD SCI TECHNOL, V58, P527, DOI 10.1016/j.lwt.2014.03.042; Agudelo CD, 2018, J BERRY RES, V8, P251, DOI 10.3233/JBR-180312; Davidov-Pardo G, 2013, FOOD BIOPROCESS TECH, V6, P941, DOI 10.1007/s11947-012-0848-z; Fernandes RVD, 2014, CARBOHYD POLYM, V101, P524, DOI 10.1016/j.carbpol.2013.09.083; Estupinan-Amaya M, 2020, MOLECULES, V25, DOI 10.3390/molecules25235635; Alzate-Arbelaez AF, 2019, FOOD CHEM, V294, P503, DOI 10.1016/j.foodchem.2019.05.085; Fredes C, 2018, MOLECULES, V23, DOI 10.3390/molecules23051227; Gallego-Peláez Emerson, 2021, Vitae, V28, pe1, DOI 10.17533/udea.vitae.v28n2a343810; Garzon GA, 2010, FOOD CHEM, V122, P980, DOI 10.1016/j.foodchem.2010.03.017; Garzon GA, 2021, J FOOD SCI, V86, P3896, DOI 10.1111/1750-3841.15872; Giusti M., 2001, CURR PROTOCOLS FOOD, V1, P1, DOI [10.1002/0471142913.faf0102-00, DOI 10.1002/0471142913.FAF0102-00, DOI 10.1002/0471142913.FAF0102S00]; Gonzalez-Ortega R, 2020, J FOOD ENG, V285, DOI 10.1016/j.jfoodeng.2020.110089; Horwitz W., 2006, OFFICIAL METHODS ANA; Jafari SM, 2016, CARBOHYD POLYM, V140, P20, DOI 10.1016/j.carbpol.2015.11.079; Khazaei KM, 2014, CARBOHYD POLYM, V105, P57, DOI 10.1016/j.carbpol.2014.01.042; Lavelli V, 2017, INNOV FOOD SCI EMERG, V39, P156, DOI 10.1016/j.ifset.2016.12.006; Lopez-Cordoba A, 2014, J FOOD ENG, V124, P158, DOI 10.1016/j.jfoodeng.2013.10.010; Celis MEM, 2018, FRUIT AND VEGETABLE PHYTOCHEMICALS: CHEMISTRY AND HUMAN HEALTH, VOLS I &amp; II, 2ND EDITION, P869; Maldonado-Celis Maria E, 2014, Rev Cubana Plant Med, V19, P172; Mansour M, 2020, ULTRASON SONOCHEM, V63, DOI 10.1016/j.ultsonch.2019.104927; Neuenfeldt NH, 2022, FOOD BIOPROCESS TECH, V15, P750, DOI 10.1007/s11947-021-02749-1; Telis VRN, 2012, CONTEMP FOOD ENG, P279; Nogueira GF, 2019, POLYMERS-BASEL, V11, DOI 10.3390/polym11091382; Nthimole CT, 2022, PROCESSES, V10, DOI 10.3390/pr10051038; La Madrid APO, 2022, J FOOD SCI TECH MYS, V59, P3502, DOI 10.1007/s13197-021-05343-7; Oro CED, 2023, FOOD SCI TECHNOL INT, V29, P255, DOI 10.1177/10820132211068979; Pudziuvelyte L, 2020, MOLECULES, V25, DOI 10.3390/molecules25092237; Nguyen QD, 2022, INT J FOOD PROP, V25, P359, DOI 10.1080/10942912.2022.2044846; Rattes ALR, 2007, POWDER TECHNOL, V171, P7, DOI 10.1016/j.powtec.2006.09.007; Rezende YRRS, 2018, FOOD CHEM, V254, P281, DOI 10.1016/j.foodchem.2018.02.026; Rosales TKO, 2022, COLLOID SURFACE B, V218, DOI 10.1016/j.colsurfb.2022.112707; Savikin K, 2021, FOODS, V10, DOI 10.3390/foods10091968; Sharif N, 2020, FOOD RES INT, V132, DOI 10.1016/j.foodres.2020.109077; SINGLETON V. L., 1965, AMER J ENOL VITICULT, V16, P144; Stoll L, 2017, J FOOD PROCESS PRES, V41, DOI 10.1111/jfpp.13218; Tao Y, 2017, POWDER TECHNOL, V311, P77, DOI 10.1016/j.powtec.2017.01.078; United States Pharmacopeia-National Formulary, 2007, USP 30 NF 25; Xin X, 2022, FOOD BIOPROCESS TECH, V15, P785, DOI 10.1007/s11947-022-02779-3; Xue J, 2019, J SCI FOOD AGR, V99, P3381, DOI 10.1002/jsfa.9555; Yu YJ, 2019, INT J FOOD PROP, V22, P2009, DOI 10.1080/10942912.2019.1701011</t>
  </si>
  <si>
    <t>WILEY</t>
  </si>
  <si>
    <t>HOBOKEN</t>
  </si>
  <si>
    <t>111 RIVER ST, HOBOKEN 07030-5774, NJ USA</t>
  </si>
  <si>
    <t>0950-5423</t>
  </si>
  <si>
    <t>1365-2621</t>
  </si>
  <si>
    <t>INT J FOOD SCI TECH</t>
  </si>
  <si>
    <t>Int. J. Food Sci. Technol.</t>
  </si>
  <si>
    <t>SI</t>
  </si>
  <si>
    <t>10.1111/ijfs.16093</t>
  </si>
  <si>
    <t>SEP 2022</t>
  </si>
  <si>
    <t>5K7FH</t>
  </si>
  <si>
    <t>WOS:000861500500001</t>
  </si>
  <si>
    <t>Coha-Vesga, PM; Mendoza-Oliveros, ME; Perez-Villamil, FR; Coury, FG; Mujica-Roncery, L</t>
  </si>
  <si>
    <t>Coha-Vesga, Pablo Miguel; Mendoza-Oliveros, Martin Emilio; Perez-Villamil, Fabio Raul; Coury, Francisco Gil; Mujica-Roncery, Lais</t>
  </si>
  <si>
    <t>Novel Martensitic High Carbon-Nitrogen Steel Produced by Casting at Low Pressure</t>
  </si>
  <si>
    <t>STEEL RESEARCH INTERNATIONAL</t>
  </si>
  <si>
    <t>carbon-nitrogen steels; cold work tool steels; computational thermodynamic; microstructures; scanning electron microscopy</t>
  </si>
  <si>
    <t>HEAT-TREATMENT; MECHANICAL-PROPERTIES; STAINLESS-STEELS; WEAR BEHAVIOR; MICROSTRUCTURE</t>
  </si>
  <si>
    <t>Nitrogen-containing steels have become an attractive material in industrial fields due to their excellent mechanical properties. Nevertheless, the current manufacturing methods to produce nitrogen steels are linked to technologies with high working pressures. Alloying elements such as Cr, Mn, and Mo enhance the solubility of nitrogen in the melt, which allows the production at atmospheric pressure. Herein, carbon-nitrogen martensitic steels are produced at low pressure (7 x 10(5) Pa). The composition is designed through the CALPHAD method using two carbon contents (0.7 and 1.3 wt%). The alloy is produced in an induction furnace under N-2 atmosphere to mitigate desorption. Thermomechanical and heat treatments are performed. The alloys are analyzed using optical emission spectroscopy, X-ray diffraction, optical microscopy, and scanning electron microscopy (SEM) with energy-dispersive spectroscopy (EDS). The mechanical evaluation is conducted using hardness analysis. The steel presents a nitrogen content of 0.15 wt%, in agreement with the thermodynamic calculations. SEM and EDS results show the presence of Cr and Nb precipitates in a martensitic structure. The highest hardness values are obtained in specimens heat treated by tempering at 400 degrees C for 2 h and air cooling, achieving 57.4 and 59.7 Hardness Rockwell C for samples with 0.7 and 1.3 wt% C, respectively.</t>
  </si>
  <si>
    <t>[Coha-Vesga, Pablo Miguel; Mendoza-Oliveros, Martin Emilio; Perez-Villamil, Fabio Raul; Mujica-Roncery, Lais] Univ Pedag &amp; Tecnol Colombia, Grp Invest Mat Siderurg, Sede Tunja, Ave Cent Norte 39-115, Tunja 150003, Boyaca, Colombia; [Coury, Francisco Gil] Univ Fed Sao Carlos, Dept Engn Mat, Rod Washington Luis,Km 235, BR-13565905 Sao Carlos, SP, Brazil</t>
  </si>
  <si>
    <t>Universidad Pedagogica y Tecnologica de Colombia (UPTC); Universidade Federal de Sao Carlos</t>
  </si>
  <si>
    <t>Coha-Vesga, PM (corresponding author), Univ Pedag &amp; Tecnol Colombia, Grp Invest Mat Siderurg, Sede Tunja, Ave Cent Norte 39-115, Tunja 150003, Boyaca, Colombia.</t>
  </si>
  <si>
    <t>pablo.coha@uptc.edu.co</t>
  </si>
  <si>
    <t>Mujica Roncery, Lais/0000-0003-4351-7520; Coury, Francisco/0000-0002-0457-2087</t>
  </si>
  <si>
    <t>Ministry of Science, Technology and Innovation of Colombia</t>
  </si>
  <si>
    <t>The authors wish to express their gratitude to the Ministry of Science, Technology and Innovation of Colombia for granting the scholarship within the bicentennial doctoral excellence scholarship program, as well as to the Universidad Pedagogica y Tecnologica de Colombia and the Universidade Federal de SAo Carlos and all its staff for the help provided to carry out this research work.</t>
  </si>
  <si>
    <t>Bannykh OA, 2003, MET SCI HEAT TREAT+, V45, P43, DOI 10.1023/A:1023952230778; Beneteau A, 2005, MAT SCI ENG A-STRUCT, V393, P63, DOI 10.1016/j.msea.2004.09.054; Berezovskaya Vera V., 2018, Solid State Phenomena, V284, P447, DOI 10.4028/www.scientific.net/SSP.284.447; Berns H, 2014, STEEL RES INT, V85, P1200, DOI 10.1002/srin.201300299; Cai X, 2020, ACTA METALL SIN-ENGL, V33, P693, DOI 10.1007/s40195-019-00991-3; Dhokey N. B., 2021, Materials Today: Proceedings, V43, P3023, DOI 10.1016/j.matpr.2021.01.367; Elistratov AV, 2003, MET SCI HEAT TREAT+, V45, P385, DOI 10.1023/B:MSAT.0000009786.65463.78; Fan RC, 2012, J MATER SCI TECHNOL, V28, P1059, DOI 10.1016/S1005-0302(12)60173-X; Farayibi PK, 2020, MAT SCI ENG A-STRUCT, V777, DOI 10.1016/j.msea.2020.139053; Feng H, 2019, METALL MATER TRANS A, V50A, P4987, DOI 10.1007/s11661-019-05398-4; Feng H, 2019, CORROS SCI, V158, DOI 10.1016/j.corsci.2019.07.007; Feng H, 2018, CORROS SCI, V144, P288, DOI 10.1016/j.corsci.2018.09.002; Filippov MA, 2006, MET SCI HEAT TREAT+, V48, P170, DOI 10.1007/s11041-006-0064-4; Gavriljuk V.G., 1999, HIGH NITROGEN STEELS; Hao YS, 2020, J MATER PROCESS TECH, V275, DOI 10.1016/j.jmatprotec.2019.116326; Jiang ZH, 2017, MATERIALS, V10, DOI 10.3390/ma10080861; Katada Y, 2005, MET SCI HEAT TREAT+, V47, P494, DOI 10.1007/s11041-006-0018-x; Kim HY, 2015, MATER CHARACT, V107, P376, DOI 10.1016/j.matchar.2015.08.001; Kudryavtsev AS, 2017, PHYS MET METALLOGR+, V118, P788, DOI 10.1134/S0031918X17080087; Li HB, 2012, ADV MATER RES-SWITZ, V455-456, P103, DOI 10.4028/www.scientific.net/AMR.455-456.103; Liu TW, 2023, J MATER SCI TECHNOL, V134, P244, DOI 10.1016/j.jmst.2022.06.023; Ma XP, 2012, MAT SCI ENG A-STRUCT, V539, P271, DOI 10.1016/j.msea.2012.01.093; Novotny P.M., 2016, REFERENCE MODULE MAT; Park SJ, 2022, J MATER RES TECHNOL, V19, P2960, DOI 10.1016/j.jmrt.2022.06.052; Ping DH, 2018, J MATER SCI, V53, P5339, DOI 10.1007/s10853-017-1938-0; Podgornik B, 2016, METALL MATER TRANS A, V47A, P5650, DOI 10.1007/s11661-016-3723-0; Properties and Selection: Irons Steels and High-Performance Alloys, 1993, ASM METAL HDB; Rasouli D, 2019, J MATER RES TECHNOL, V8, P2846, DOI 10.1016/j.jmrt.2018.12.026; Rejeesh R, 2021, J ALLOY COMPD, V867, DOI 10.1016/j.jallcom.2021.158971; Ren WH, 2022, J ALLOY COMPD, V905, DOI 10.1016/j.jallcom.2022.164013; Satir A., 1991, Z METALLKD, V52, P689; Shah N, 2019, T INDIAN I METALS, V72, P2121, DOI 10.1007/s12666-018-01555-2; Speer J., 2015, SOLUBILITY PRECIPITA; Stein G, 2004, MATER MANUF PROCESS, V19, P7, DOI 10.1081/AMP-120027494; Svjain A.G., 1999, MATER SCI FORUM, V318, P353; Ha VT, 2011, MAT SCI ENG A-STRUCT, V528, P7115, DOI 10.1016/j.msea.2011.06.061; Xia T, 2021, MATERIALS, V14, DOI 10.3390/ma14174792; Zajac S., 2001, C 43 MECH WORK STEEL; Zyska A, 2017, ARCH FOUNDRY ENG, V17, P163, DOI 10.1515/afe-2017-0030</t>
  </si>
  <si>
    <t>WILEY-V C H VERLAG GMBH</t>
  </si>
  <si>
    <t>WEINHEIM</t>
  </si>
  <si>
    <t>POSTFACH 101161, 69451 WEINHEIM, GERMANY</t>
  </si>
  <si>
    <t>1611-3683</t>
  </si>
  <si>
    <t>1869-344X</t>
  </si>
  <si>
    <t>STEEL RES INT</t>
  </si>
  <si>
    <t>Steel Res. Int.</t>
  </si>
  <si>
    <t>MAR</t>
  </si>
  <si>
    <t>10.1002/srin.202200686</t>
  </si>
  <si>
    <t>NOV 2022</t>
  </si>
  <si>
    <t>D9BK1</t>
  </si>
  <si>
    <t>WOS:000884302500001</t>
  </si>
  <si>
    <t>Borda, J; Torres, R; Lapidus, G</t>
  </si>
  <si>
    <t>Borda, J.; Torres, R.; Lapidus, G.</t>
  </si>
  <si>
    <t>Selective leaching of zinc and lead from electric arc furnace dust using citrate and H2SO4 solutions. A kinetic perspective</t>
  </si>
  <si>
    <t>REVISTA MEXICANA DE INGENIERIA QUIMICA</t>
  </si>
  <si>
    <t>Kinetics; leaching; EAFD; zinc; lead; Sodium-citrate; sulfuric-acid</t>
  </si>
  <si>
    <t>SELF-COMPACTING MORTARS; RECOVERY; COPPER; WASTE; IRON; PERFORMANCE</t>
  </si>
  <si>
    <t>The electric Arc Furnace Dust (EAFD) sample leaching using two different organic carboxylic anions has been previously studied, as a separate article. The aim of the present research work (Part II) is the study on the leaching kinetics of EAFD, comparing the efficiency of sodium citrate with that of sulfuric acid solutions. The effect of the solid / liquid ratio, temperature and reagent concentration in the leaching solutions on the metallic dissolution was analyzed. In both cases, the more stable phase of franklinite (ZnFe2O4) experienced minimal decomposition at room temperature, although almost complete extraction of zinc was possible with sulfuric acid at higher temperatures. The kinetics of franklinite decomposition conformed to the reaction-controlled Shrinking Core Model. Using the Arrhenius expression, the apparent activation energies for franklinite and lead dissolutions in H2SO4 were evaluated. On the other hand, citrate showed promise due to its selectivity in leaching non-ferrous metals oxides (ZnO and PbO).</t>
  </si>
  <si>
    <t>[Borda, J.; Torres, R.] Univ Pedagog &amp; Tecnol Colombia, Escuela Met, Fac Ingn, Ave Cent Norte Km 4,Edif Ingn 201, Tunja, Colombia; [Lapidus, G.] Univ Autonoma Metropolitana Iztapalapa, Dept Ingn Proc &amp; Hidraul, San Rafael Atlixco 186,Col Vicentina, Ciudad Mexico, Mexico</t>
  </si>
  <si>
    <t>Universidad Pedagogica y Tecnologica de Colombia (UPTC); Universidad Autonoma Metropolitana - Mexico</t>
  </si>
  <si>
    <t>Borda, J (corresponding author), Univ Pedagog &amp; Tecnol Colombia, Escuela Met, Fac Ingn, Ave Cent Norte Km 4,Edif Ingn 201, Tunja, Colombia.</t>
  </si>
  <si>
    <t>Vicerrectoria de Investigacion y Extension Universidad Pedagogica y Tecnologica de Colombia (VIE-UPTC)</t>
  </si>
  <si>
    <t>Johana Borda is grateful to Dra. Gretchen Lapidus and to the Hydrometallurgy laboratory staff at the Universidad Autonoma Metropolitana-Iztapalapa for the scientific support and the technical assistance in the development of the research internship. Johana Borda and Robinson Torres appreciate the Vicerrectoria de Investigacion y Extension Universidad Pedagogica y Tecnologica de Colombia (VIE-UPTC) for financial support for the research.</t>
  </si>
  <si>
    <t>Avery HE., 1974, BASIC REACTION KINET, DOI 10.1007/978-1-349-15520-0; Blanco J., 2012, CONTAMINACION AMBIEN; Borda J, 2021, REV MEX ING QUIM, V20, P389, DOI 10.24275/rmiq/IA2022; Bruckard WJ, 2005, INT J MINER PROCESS, V75, P1, DOI 10.1016/j.minpro.2004.04.007; Castells X. E, 2009, CONTROL, P1; Gabos MB, 2009, SCI AGR, V66, P506, DOI 10.1590/S0103-90162009000400012; Gamboa O, 2017, OPTIMIZACION PARAMET; Garcia-Arreola ME, 2015, REV MEX ING QUIM, V14, P109; HAGNI AM, 1991, JOM-J MIN MET MAT S, V43, P28; Levenspiel O., 1972, CHEM REACTION ENG; Levenspiel O., 1999, CHEM REACTION ENG; Lozano-Lunar A, 2019, J CLEAN PROD, V219, P818, DOI 10.1016/j.jclepro.2019.02.145; Lozano-Lunar A, 2019, J CLEAN PROD, V211, P1375, DOI 10.1016/j.jclepro.2018.12.002; Machado JGMS, 2006, J HAZARD MATER, V136, P953, DOI 10.1016/j.jhazmat.2006.01.044; Madias J., 2009, REV ACERO LATINOAMER, V513, P26; Oustadakis P, 2010, J HAZARD MATER, V179, P1, DOI 10.1016/j.jhazmat.2010.01.059; Pinna EG, 2019, REV MEX ING QUIM, V18, P441, DOI 10.24275/uam/izt/dcbi/revmexingquim/2019v18n2/Pinna; Sayadi M, 2017, J CLEAN PROD, V143, P1260, DOI 10.1016/j.jclepro.2016.11.156; Silva VS, 2019, J MATER RES TECHNOL, V8, P5504, DOI 10.1016/j.jmrt.2019.09.018; Sohn HY., 1979, RATE PROCESSES EXTRA, DOI [10.1007/978-1-4684-9117-3, DOI 10.1007/978-1-4684-9117-3]; Torres R, 2018, WASTE MANAGE, V71, P420, DOI 10.1016/j.wasman.2017.10.029; Torres R, 2017, WASTE MANAGE, V60, P561, DOI 10.1016/j.wasman.2016.12.001; Torres R, 2016, WASTE MANAGE, V57, P131, DOI 10.1016/j.wasman.2016.03.010; Vatsala A. S., 1997, MIN PROC EXT MET REV, V3, P179, DOI DOI 10.1179/mpm.2000.109.3.121; Wai Lin Shui, 2006, J. Mex. Chem. Soc, V50, P64; de Buzin PJWK, 2017, J MATER RES TECHNOL, V6, P194, DOI 10.1016/j.jmrt.2016.10.002; Yang Y, 2015, HYDROMETALLURGY, V157, P239, DOI 10.1016/j.hydromet.2015.08.021; Zhang YL, 2011, HYDROMETALLURGY, V109, P211, DOI 10.1016/j.hydromet.2011.07.002</t>
  </si>
  <si>
    <t>UNIV AUTONOMA METROPOLITANA-IZTAPALAPA</t>
  </si>
  <si>
    <t>MEXICO</t>
  </si>
  <si>
    <t>C/O DR JAIME VERNON-CARTER, SAN RAFAEL ATLIXCO NO 186, COL VICENTINA, DELEGACION IZTAPALAPA, MEXICO, 09340, MEXICO</t>
  </si>
  <si>
    <t>1665-2738</t>
  </si>
  <si>
    <t>REV MEX ING QUIM</t>
  </si>
  <si>
    <t>Rev. Mex. Ing. Quim.</t>
  </si>
  <si>
    <t>Cat2606</t>
  </si>
  <si>
    <t>10.24275/rmiq/Cat2606</t>
  </si>
  <si>
    <t>Chemistry, Applied; Engineering, Chemical</t>
  </si>
  <si>
    <t>Chemistry; Engineering</t>
  </si>
  <si>
    <t>YL1YR</t>
  </si>
  <si>
    <t>hybrid</t>
  </si>
  <si>
    <t>WOS:000745695100001</t>
  </si>
  <si>
    <t>Rodriguez-Suesca, AE; Gutierrez-Junco, OJ; Hernandez-Montes, E</t>
  </si>
  <si>
    <t>Rodriguez-Suesca, A. E.; Gutierrez-Junco, O. J.; Hernandez-Montes, E.</t>
  </si>
  <si>
    <t>Vibration performance assessment of deteriorating footbridges: A study of Tunja's public footbridges</t>
  </si>
  <si>
    <t>ENGINEERING STRUCTURES</t>
  </si>
  <si>
    <t>Vibration assessment; Modal identification; Footbridge; Pedestrian loading; Vibration serviceability; Vibration discomfort; Structural deterioration</t>
  </si>
  <si>
    <t>GROUND REACTION FORCES; WALKING; SERVICEABILITY; KINEMATICS</t>
  </si>
  <si>
    <t>This paper presents the results of the assessment of the dynamic characteristics and vibration performance of eight deteriorating footbridges. The bridges examined, part of the public infrastructure of the city of Tunja (Colombia), present an evident state of deterioration, showing excessive vibration under service loadings. A consistent evaluation methodology based on vibration tests and numerical analyses was implemented. After completing a deterioration assessment, an experimental modal characterization was carried out, the results of which were used to update numerical structural models. Uniform vibration tests for different pedestrian loading scenarios were conducted. Then, pedestrian crossing simulations for a typical range of walking and running frequencies were performed using a step-by-step load model with a new proposal of normalised single-footstep force functions. Results showed elevated vibrations in most of the footbridges for temporary and exceptional loading conditions, which are unsafe for some of the structures. Discomfort and deterioration were compared using a vibration discomfort index (VDI) and a deterioration index (DI). High vibration discomfort levels were found to be consistent with the degree of deterioration of the structures evaluated.</t>
  </si>
  <si>
    <t>[Rodriguez-Suesca, A. E.; Gutierrez-Junco, O. J.] Pedag &amp; Technol Univ Colombia UPTC, Sch Civil Engn, Cent North Ave, Tunja 150003, Colombia; [Rodriguez-Suesca, A. E.; Hernandez-Montes, E.] Univ Granada UGR, Dept Struct Mech, Campus Univ Fuentenueva S-N, Granada 18072, Spain</t>
  </si>
  <si>
    <t>Universidad Pedagogica y Tecnologica de Colombia (UPTC); University of Granada</t>
  </si>
  <si>
    <t>Rodriguez-Suesca, AE (corresponding author), Pedag &amp; Technol Univ Colombia, Sch Civil Engn, Cent North Ave 39-115,Off 237, Tunja 150003, Colombia.</t>
  </si>
  <si>
    <t>angel.rodriguez@uptc.edu.co; oscarjavier.gutierrez@uptc.edu.co; emontes@ugr.es</t>
  </si>
  <si>
    <t>Vicerrectoria de Investigacion y Extension of the Pedagogical and Technological University of Colombia (UPTC); School of Civil Engineering of the UPTC [UPTC-INVIAS 2013-2017]</t>
  </si>
  <si>
    <t>Vicerrectoria de Investigacion y Extension of the Pedagogical and Technological University of Colombia (UPTC); School of Civil Engineering of the UPTC</t>
  </si>
  <si>
    <t>&amp; nbsp;The present work was financed by the Vicerrectoria de Investigacion y Extension of the Pedagogical and Technological University of Colombia (UPTC) and the UPTC-INVIAS 2013-2017 Extension Group of the School of Civil Engineering of the UPTC. The authors would like to thank the student researchers of the STRESS 2017/18 seedbed of the GICA Research Group of the Faculty of Engineering-UPTC, especially the researcher students Luis Tolosa and Yilber Hernandez for their help during the testing operations, signal processing and modelling. Their support is gratefully acknowledged.</t>
  </si>
  <si>
    <t>AASHTO, 2015, MAN BRIDG EL INSP; AASHTO, 2018, MAN BRIDG EV, V3rd; Allemang RJ, 2003, SOUND VIB, V37, P14; American Concrete Institute-ACI, 1997, 2011R ACI, V92; American Concrete Institute-ACI, 2003, 437R ACI; American Concrete Institute-ACI, 1998, 2241R ACI; American Institute of Steel Construction-AISC, 2016, STEEL DES GUID; [Anonymous], 1997, 26311 ISO; Bachmann H., 1995, VIBRATION PROBLEMS S, DOI 10.1007/978-3-0348-9231-5; Bachmann H., 1987, VIBRATIONS STRUCTURE; Brincker R, 2001, P SOC PHOTO-OPT INS, V4359, P698; Brincker R, 2001, SMART MATER STRUCT, V10, P441, DOI 10.1088/0964-1726/10/3/303; Brincker R, 2006, C P SOC EXP MECH SER; Brincker R, IOMAC 2009 3 INT OP, P615; Brincker R, 2015, INTRO OPERATIONAL MO, DOI [10.1002/9781118535141, DOI 10.1002/9781118535141]; British Standards Institution-BSI, 2008, 199122003 BSI EN; Bus SA, 2003, MED SCI SPORT EXER, V35, P1167, DOI 10.1249/01.MSS.0000074441.55707.D1; Cacho-Perez M, 2017, J ENG MECH, V143, DOI 10.1061/(ASCE)EM.1943-7889.0001326; Caprani CC, 2016, J SOUND VIB, V377, P346, DOI 10.1016/j.jsv.2016.05.015; CAVANAGH PR, 1980, J BIOMECH, V13, P397, DOI 10.1016/0021-9290(80)90033-0; Comision asesora permanente para el regimen de construcciones sismo resistentes, 2010, NSR 10 REGL COL CONS; Computers and Structures Inc, 2016, AN REF MAN COMP STRU; da Silva JGS, 2007, COMPUT STRUCT, V85, P1693, DOI 10.1016/j.compstruc.2007.02.012; Dallard P., 2001, J BRIDGE ENG, V6, P412, DOI [10.1061/(ASCE)1084-0702(2001)6:6(412), DOI 10.1061/(ASCE)1084-0702(2001)6:6(412)]; Damavandi M, 2012, HUM MOVEMENT SCI, V31, P182, DOI 10.1016/j.humov.2011.06.004; Davis DB, 2008, FINITE ELEMENT MODEL; Dziuba P., 2001, B OUVRAGES M TALLIQU, V1, P34; European Committee for Standardization-CEN, 2004, 199522004 CEN EN; HAMILL J, 1983, HUM MOVEMENT SCI, V2, P47, DOI 10.1016/0167-9457(83)90005-2; HIVOSS European research project, 2008, HUM IND VIBR STEEL S; Hu WH, 2012, MECH SYST SIGNAL PR, V33, P38, DOI 10.1016/j.ymssp.2012.05.012; International Standards Organization-ISO, 1989, 2631289 ISO; INVIAS Universidad Nacional de Colombia, 2006, MAN INSP VIS PUENT P; ISO (International Organization for Standardization), 2007, 10137 ISO; Ji T., 2005, STRUCTURAL ENG, V84, P36, DOI DOI 10.1016/S0141-0296(00)00020-1; Keller TS, 1996, CLIN BIOMECH, V11, P253, DOI 10.1016/0268-0033(95)00068-2; Kluitenberg B, 2012, BMC MUSCULOSKEL DIS, V13, DOI 10.1186/1471-2474-13-235; Li QA, 2010, J SOUND VIB, V329, P4068, DOI 10.1016/j.jsv.2010.04.013; Márquez Luis, 2015, Rev. ing. univ. Medellín, V14, P93; Matsumoto Y., 1978, IABSE P, P1, DOI DOI 10.5169/SEALS-33221; Moreu F, 2016, J BRIDGE ENG, V21, DOI 10.1061/(ASCE)BE.1943-5592.0000805; Mottershead J, 1995, FINITE ELEMENT MODEL, DOI [10.1007/978-94-015-8508-8, DOI 10.1007/978-94-015-8508-8]; Moughty JJ, 2019, TRUSS TRAIN REDUCING, P25; MUNRO CF, 1987, J BIOMECH, V20, P147, DOI 10.1016/0021-9290(87)90306-X; NILSSON J, 1989, ACTA PHYSIOL SCAND, V136, P217, DOI 10.1111/j.1748-1716.1989.tb08655.x; Riley PO, 2008, MED SCI SPORT EXER, V40, P1093, DOI 10.1249/MSS.0b013e3181677530; Riley PO, 2007, GAIT POSTURE, V26, P17, DOI 10.1016/j.gaitpost.2006.07.003; SETRA, 2006, ASS VIBR BEH FOOTBR; SIMON SR, 1981, J BIOMECH, V14, P817, DOI 10.1016/0021-9290(81)90009-9; Smith AL, 2007, P354 SCI, DOI [10.13140/RG.2.2.29342.95048, DOI 10.13140/RG.2.2.29342.95048]; Steel Construction Institute, 1989, DES GUID VIBR FLOORS; SYNPEX European research project, 2008, ADV LOAD MOD SYNCHR; The Mathworks Inc, 2019, MATLAB; Toso MA, 2018, ENG STRUCT, V177, P47, DOI 10.1016/j.engstruct.2018.09.033; Van Nimmen K, 2014, ENG STRUCT, V59, P448, DOI 10.1016/j.engstruct.2013.11.006; van Overschee P., 1996, SUBSPACE IDENTIFICAT, DOI DOI 10.1007/978-1-4613-0465-4; Varela WD, 2004, THESIS; WHEELER JE, 1982, J STRUCT DIV-ASCE, V108, P2045; Whittle M., 2007, GAIT ANAL INTRO; Whittle MW, 1999, GAIT POSTURE, V10, P264, DOI 10.1016/S0966-6362(99)00041-7; Whittle MW, 1994, 8 BIENN C CAN SOC BI, P170; Willford M, 2006, AEI 2006 BUILD INT S, P17, DOI [10.1061/40798(190)17, DOI 10.1061/40798(190)17]; Winter DA, 1988, BIOMECHANICS MOTOR C, V74; Younis A, 2017, APPL MECH REV, V69, DOI 10.1115/1.4036327; Zivanovic S, 2005, J SOUND VIB, V279, P1, DOI 10.1016/j.jsv.2004.01.019; Zivanovic S, 2010, J STRUCT ENG-ASCE, V136, P1296, DOI 10.1061/(ASCE)ST.1943-541X.0000226</t>
  </si>
  <si>
    <t>0141-0296</t>
  </si>
  <si>
    <t>1873-7323</t>
  </si>
  <si>
    <t>ENG STRUCT</t>
  </si>
  <si>
    <t>Eng. Struct.</t>
  </si>
  <si>
    <t>APR 1</t>
  </si>
  <si>
    <t>10.1016/j.engstruct.2022.113997</t>
  </si>
  <si>
    <t>FEB 2022</t>
  </si>
  <si>
    <t>Engineering, Civil</t>
  </si>
  <si>
    <t>ZY5EA</t>
  </si>
  <si>
    <t>WOS:000772608300001</t>
  </si>
  <si>
    <t>Bohorquez-Quintero, MD; Galvis-Tarazona, DY; Arias-Moreno, DM; Ojeda-Perez, ZZ; Ochatt, S; Rodriguez-Molano, LE</t>
  </si>
  <si>
    <t>de los Angeles Bohorquez-Quintero, Maria; Galvis-Tarazona, Daicy Yaneth; Arias-Moreno, Diana Marcela; Ojeda-Perez, Zaida Zarely; Ochatt, Sergio; Rodriguez-Molano, Luis Ernesto</t>
  </si>
  <si>
    <t>Morphological and anatomical characterization of yellow diploid potato flower for effective breeding program</t>
  </si>
  <si>
    <t>SCIENTIFIC REPORTS</t>
  </si>
  <si>
    <t>POLLEN DEVELOPMENT; ANTHER DEVELOPMENT; MICROSPOROGENESIS; SPECIFICATION; ANDROGENESIS; STAGE</t>
  </si>
  <si>
    <t>The diploid yellow potato (Solanum tuberosum L. Phureja Group) is an important plant genetic resource. In this study, we report for the first time the characterization of anther development and pollen formation in the cultivar Criolla Colombia. The description of morphological and histological characters of buds and flowers at different developmental stages permitted to identify ten main stages, from the differentiation of the male cells of the sporangium, meiosis, microspores formation and maturation, to the release of mature pollen. In addition, the results provide a graphic guide of the development of the anther, through the sequential and orderly formation of the epidermis, the endothecium, the middle layer and the nutritive layer or tapetum. This microanatomical information will be useful for work focused on androgenesis and identification of gene regulation in floral biology and gamete formation. Therefore, this study determined that to efficiently obtain haploids, flower buds between 5 and 8.9 mm long (stage 6 to 8) should be used, in which tetrads and microspores are in the early uninucleate and binucleate stage.</t>
  </si>
  <si>
    <t>[de los Angeles Bohorquez-Quintero, Maria; Galvis-Tarazona, Daicy Yaneth; Arias-Moreno, Diana Marcela; Ojeda-Perez, Zaida Zarely] Univ Pedag &amp; Tecnol Colombia, Fac Ciencias, Escuela Ciencias Biol, Grp Invest BIOPLASMA UPTC, Tunja, Colombia; [Ochatt, Sergio] Univ Bourgogne Franche Comte, Univ Bourgogne, Inst Agro, Agroecol,INRAE, F-21000 Dijon, France; [Rodriguez-Molano, Luis Ernesto] Univ Nacl Colombia, Dept Agron, Fac Ciencias Agrarias, Carrera 30 Num 45 03,Edificio 500, Bogota, Colombia</t>
  </si>
  <si>
    <t>Universidad Pedagogica y Tecnologica de Colombia (UPTC); INRAE; Institut Agro; AgroSup Dijon; Universite de Bourgogne; Universidad Nacional de Colombia</t>
  </si>
  <si>
    <t>Arias-Moreno, DM (corresponding author), Univ Pedag &amp; Tecnol Colombia, Fac Ciencias, Escuela Ciencias Biol, Grp Invest BIOPLASMA UPTC, Tunja, Colombia.</t>
  </si>
  <si>
    <t>; Arias Moreno, Diana Marcela/B-1011-2015</t>
  </si>
  <si>
    <t>Galvis, Daicy/0000-0002-2251-0015; Arias Moreno, Diana Marcela/0000-0001-6171-0549; Rodriguez Molano, Luis Ernesto/0000-0002-9058-8404</t>
  </si>
  <si>
    <t>Ministry of Science, Technology, and Innovation of Colombia; Government of Boyaca; Universidad Pedagogica y Tecnologica de Colombia [794]; Boyaca and Colombia Bio Program</t>
  </si>
  <si>
    <t>Ministry of Science, Technology, and Innovation of Colombia; Government of Boyaca; Universidad Pedagogica y Tecnologica de Colombia; Boyaca and Colombia Bio Program</t>
  </si>
  <si>
    <t>The authors thank the Ministry of Science, Technology, and Innovation of Colombia, the Government of Boyaca, Boyaca and Colombia Bio Program and the Universidad Pedagogica y Tecnologica de Colombia, for financing the project entitled Implementation of biotechnological and agricultural processes for the cultivation of clean species of ancestral varieties of potato (Solanum sp.) from the agro-ecosystems of the department. Convocation 794 of 2017 R&amp;D projects for the technological development of a biological origin in the Department of Boyaca. Additionally, the authors thank the BIOPLASMA-UPTC research group and exalt the contribution of Dr. Jose Constantino Pacheco -Maldonado+ who also conceived and designed the research.</t>
  </si>
  <si>
    <t>Adhikari PB, 2017, HORTICUL SCI TECHNOL, V35, P608, DOI 10.12972/kjhst.20170065; Agadi S., 2016, INT J APPL RES, V2, P86; Aloisi I, 2016, FRONT PLANT SCI, V7, DOI 10.3389/fpls.2016.00155; Alvarez MF, 2017, FRONT PLANT SCI, V8, DOI 10.3389/fpls.2017.01040; Astrand J, 2021, PLANT REPROD, V34, P307, DOI 10.1007/s00497-021-00416-1; Garcia CC, 2017, PROTOPLASMA, V254, P57, DOI 10.1007/s00709-016-0950-6; Castro M., 2012, PITTIERIA, V36, P67; Chaudhry B., 2016, REPROD BIOL ANGIOSPE, V27; Dafni A, 2000, PLANT SYST EVOL, V222, P113, DOI 10.1007/BF00984098; Du MR, 2021, J INTEGR PLANT BIOL, V63, P628, DOI 10.1111/jipb.13018; Eliby S, 2022, BIOTECHNOL ADV, V60, DOI 10.1016/j.biotechadv.2022.108007; Fadon E, 2019, PROTOPLASMA, V256, P733, DOI 10.1007/s00709-018-01332-4; Furuta KM, 2014, ANNU REV PLANT BIOL, V65, P607, DOI 10.1146/annurev-arplant-050213-040306; Gobernacion-de-Cundinamarca &amp; FEDEPAPA, 2009, REC INV SIST PROD PA; Gomez JF, 2015, J INTEGR PLANT BIOL, V57, P876, DOI 10.1111/jipb.12425; Gomez R, 2000, CENT INT PAPA, V1, P1; Herrera A, 2012, TECNOLOGIAS PRODUCCI; HOGLUND M, 1970, HEREDITAS-GENETISK A, V66, P183; Human Z, 2002, AM J BOT, V89, P947, DOI 10.3732/ajb.89.6.947; Ortiz-Ramirez CI, 2018, ANN BOT-LONDON, V121, P1211, DOI 10.1093/aob/mcy007; Karimi-Ashtiyani R, 2021, METHODS MOL BIOL, V2289, P3, DOI 10.1007/978-1-0716-1331-3_1; Kazemiani S, 2018, PROG NUTR, V20, P160, DOI 10.23751/pn.v20i1-S.6686; Lindhout P, 2011, POTATO RES, V54, P301, DOI 10.1007/s11540-011-9196-z; Lora J, 2022, FRONT PLANT SCI, V13, DOI 10.3389/fpls.2022.862813; Mishra R, 2016, RICE SCI, V23, P57, DOI 10.1016/j.rsci.2016.02.001; Vasquez TM, 2017, POTATO RES, V60, P361, DOI 10.1007/s11540-018-9389-9; Mushtaq Waseem, 2018, Journal of Plant Protection Research, V58, P1, DOI 10.24425/119113; Navarro C., 2010, REV CIENC AGR COLAS, V27, P27; Niazian M, 2019, PROTOPLASMA, V256, P1317, DOI 10.1007/s00709-019-01379-x; Nustez-Lopez Carlos Eduardo, 2020, MANUAL RECOMENDACION; Ochatt S, 2009, J PLANT PHYSIOL, V166, P1314, DOI 10.1016/j.jplph.2009.01.011; Parra-Vega V, 2013, ACTA PHYSIOL PLANT, V35, P627, DOI 10.1007/s11738-012-1104-x; Pena C, 2015, LWT-FOOD SCI TECHNOL, V62, P76, DOI 10.1016/j.lwt.2015.01.038; PIJNACKER LP, 1992, THEOR APPL GENET, V85, P269, DOI 10.1007/BF00222869; Pineros-Nino C, 2017, FOOD SCI NUTR, V5, P380, DOI 10.1002/fsn3.403; Qu HO, 2015, PAK J BOT, V47, P1459; Rezanejad F, 2013, IRAN J SCI TECHNOL A, V37, P63; Rodriguez L., 2009, AGRON COLOMB, V27, P1; Rodríguez Luis Ernesto, 2009, Agron. colomb., V27, P289; Salas P, 2012, EUPHYTICA, V184, P235, DOI 10.1007/s10681-011-0569-9; Sato HA, 2013, B SOC ARGENT BOT, V48, P59; Segui-Simarro JM, 2016, METHODS MOL BIOL, V1359, P209, DOI 10.1007/978-1-4939-3061-6_9; Sharma V., 2012, J BIOTECHNOL BIOMATE, V2, P2, DOI [10.4172/2155-952X.1000149, DOI 10.4172/2155-952X.1000149]; Shivanna K.R., 2003, POLLEN BIOL BIOTECHN, P316, DOI [10.1201/9780429187704, DOI 10.1201/9780429187704]; Sierra A., 2020, BIOAGRO, V32, P3; Souza MM, 2012, CROP BREED APPL BIOT, V12, P138, DOI 10.1590/S1984-70332012000200007; Talebi S., 2016, RES J BIOL SCI, V11, P34; Touraev A, 2001, ADV BOT RES, V35, P53, DOI 10.1016/S0065-2296(01)35004-8; Truskina J, 2022, P NATL ACAD SCI, V119, DOI DOI 10.1073/PNAS.2201446119; Verma N, 2019, GENE, V689, P202, DOI 10.1016/j.gene.2018.12.022; Vural G, 2019, APPL LIFE SCI, V27, P2; Wang C, 2011, BIOL PLANTARUM, V55, P469, DOI 10.1007/s10535-011-0112-9; Wang Z., 2022, FORESTS, V13, P1; Youmbi E, 2015, J OIL PALM RES, V27, P212; Yu SX, 2017, BMC PLANT BIOL, V17, DOI 10.1186/s12870-017-1025-3; Zhang DB, 2014, CURR OPIN PLANT BIOL, V17, P49, DOI 10.1016/j.pbi.2013.11.001; Zhang DB, 2009, CHINESE SCI BULL, V54, P2342, DOI 10.1007/s11434-009-0348-3; Zhang ZB, 2017, PROTEOMICS, V17, DOI 10.1002/pmic.201600458</t>
  </si>
  <si>
    <t>NATURE PORTFOLIO</t>
  </si>
  <si>
    <t>BERLIN</t>
  </si>
  <si>
    <t>HEIDELBERGER PLATZ 3, BERLIN, 14197, GERMANY</t>
  </si>
  <si>
    <t>2045-2322</t>
  </si>
  <si>
    <t>SCI REP-UK</t>
  </si>
  <si>
    <t>Sci Rep</t>
  </si>
  <si>
    <t>SEP 30</t>
  </si>
  <si>
    <t>10.1038/s41598-022-20439-6</t>
  </si>
  <si>
    <t>4Z8AS</t>
  </si>
  <si>
    <t>WOS:000862424900045</t>
  </si>
  <si>
    <t>Leon-Castro, E; Blanco-Mesa, F; Hussain, W; Flores-Sosa, M; Perez-Arellano, LA</t>
  </si>
  <si>
    <t>Leon-Castro, Ernesto; Blanco-Mesa, Fabio; Hussain, Walayat; Flores-Sosa, Martha; Perez-Arellano, Luis A.</t>
  </si>
  <si>
    <t>Tax Revenue Measurement Using OWA Operators</t>
  </si>
  <si>
    <t>CYBERNETICS AND SYSTEMS</t>
  </si>
  <si>
    <t>OWA operator; decision making; tax revenue</t>
  </si>
  <si>
    <t>AGGREGATION OPERATORS; DETERMINANTS</t>
  </si>
  <si>
    <t>The aim of this paper is to present the application of the OWA operator and some of its extensions in the calculation of continent and global tax revenues. The idea is to present how the analysis of an important economic indicator can vary depending on how the information is aggregated. An example was employed based on the Organization for Economic Co-operation and Development (OECD) database using 111 countries that were divided by continent, and then the global tax revenue was calculated using different aggregation operators. Different analyses can be carried out by governments and enterprises to improve decision making and fiscal politics.</t>
  </si>
  <si>
    <t>[Leon-Castro, Ernesto] Univ Catolica Santisima Concepcion, Fac Econ &amp; Adm Sci, Concepcion, Chile; [Blanco-Mesa, Fabio] Univ Pedag &amp; Tecnol Colombia, Fac Ciencias Econ &amp; Adm, Escuela Adm Empresas, Tunja, Colombia; [Hussain, Walayat] Victoria Univ, Victoria Univ Business Sch, Melbourne, Vic, Australia; [Flores-Sosa, Martha; Perez-Arellano, Luis A.] Univ Autonoma Occidente, Unidad Reg Culiacan, Los Mochis, Mexico</t>
  </si>
  <si>
    <t>Universidad Catolica de la Santisima Concepcion; Universidad Pedagogica y Tecnologica de Colombia (UPTC); Victoria University</t>
  </si>
  <si>
    <t>Leon-Castro, E (corresponding author), Univ Catolica Santisima Concepcion, Fac Econ &amp; Adm Sci, Concepcion, Chile.</t>
  </si>
  <si>
    <t>Chileeleon@ucsc.cl</t>
  </si>
  <si>
    <t>Hussain, Walayat/HIZ-8975-2022; Leon-Castro, Ernesto/AAD-2628-2021; Blanco-Mesa, Fabio/K-7225-2012</t>
  </si>
  <si>
    <t>Leon-Castro, Ernesto/0000-0002-0087-2226; Blanco-Mesa, Fabio/0000-0002-9462-6498; Hussain, Walayat/0000-0003-0610-4006</t>
  </si>
  <si>
    <t>Universidad Pedagogica y Tecnologica de Colombia [SGI 3323]; Red Sistemas Inteligentes y Expertos Modelos Computacionales Iberoamericanos (SIEMCI) [522RT0130]; Chilean Government through FONDECYT initiation grant [11190056]</t>
  </si>
  <si>
    <t>Universidad Pedagogica y Tecnologica de Colombia; Red Sistemas Inteligentes y Expertos Modelos Computacionales Iberoamericanos (SIEMCI); Chilean Government through FONDECYT initiation grant</t>
  </si>
  <si>
    <t>This work was supported by Universidad Pedagogica y Tecnologica de Colombia (Grant number SGI 3323), and the research was supported by Red Sistemas Inteligentes y Expertos Modelos Computacionales Iberoamericanos (SIEMCI), project number 522RT0130 in Programa Iberoamericano de Ciencia y Tecnologia para el Desarrollo (CYTED). Author Leon-Castro acknowledges support from the Chilean Government through FONDECYT initiation grant No. 11190056.</t>
  </si>
  <si>
    <t>Abdelwahed L, 2020, RESOUR POLICY, V68, DOI 10.1016/j.resourpol.2020.101747; Acosta-Ormaechea S, 2021, INT TAX PUBLIC FINAN, V28, P1211, DOI 10.1007/s10797-021-09681-2; Akram M, 2021, EXPERT SYST, V38, DOI 10.1111/exsy.12712; Akram M, 2020, J MATH-UK, V2020, DOI 10.1155/2020/4739567; Alcantud JCR, 2022, EXPERT SYST APPL, V203, DOI 10.1016/j.eswa.2022.117430; Awasthi R., 2020, POLICY RES WORKING P; Casanovas M, 2012, EXPERT SYST APPL, V39, P7138, DOI 10.1016/j.eswa.2012.01.030; Dezhi Liu, 2011, 2011 Fourth International Joint Conference on Computational Sciences and Optimization (CSO), P516, DOI 10.1109/CSO.2011.251; Espinoza-Audelo LF, 2021, J MULT-VALUED LOG S, V36, P543; Fama EF, 2021, EUR FINANC MANAG, V27, P3, DOI 10.1111/eufm.12300; Farah B, 2021, J WORLD BUS, V56, DOI 10.1016/j.jwb.2020.101186; Flores-Sosa M, 2021, INFORM SCIENCES, V565, P46, DOI 10.1016/j.ins.2021.02.051; Fonseca-Cifuentes G, 2021, J INTELL FUZZY SYST, V40, P1971, DOI 10.3233/JIFS-189200; Ghanbari AA, 2021, APPL INTELL, V51, P646, DOI 10.1007/s10489-020-01808-y; Gnangnon SK, 2022, APPL ECON ANAL, V30, P18, DOI 10.1108/AEA-09-2020-0133; Goumagias ND, 2012, DECIS SUPPORT SYST, V53, P76, DOI 10.1016/j.dss.2011.12.006; Green D, 2021, J PUBLIC ECON, V193, DOI 10.1016/j.jpubeco.2020.104321; Gurdal T, 2021, ECON CHANG RESTRUCT, V54, P305, DOI 10.1007/s10644-020-09280-x; Hall JL, 2022, LOCAL GOV STUD, V48, P628, DOI 10.1080/03003930.2020.1869544; Hamdan S, 2021, PALARCHS J ARCHAEOLO, V18, P98; He W, 2022, FUZZY SET SYST, V446, P167, DOI 10.1016/j.fss.2021.08.002; Hussain W, 2023, IEEE T SERV COMPUT, V16, P370, DOI [10.1109/TSC.2021.3124885, 10.1002/int.22732]; Kakaulina MO, 2021, J TAX REFORM, V7, P39, DOI 10.15826/jtr.2021.7.1.089; Leon-Castro E, 2019, TECHNOL ECON DEV ECO, V25, P576, DOI 10.3846/tede.2019.9374; Leon-Castro E, 2018, CYBERNET SYST, V49, P26, DOI 10.1080/01969722.2017.1412883; Lizasoain I, 2013, FUZZY SET SYST, V224, P36, DOI 10.1016/j.fss.2012.10.012; Llopis-Albert C, 2017, MULTIDISCIP J EDUC S, V4, P52, DOI 10.4995/muse.2017.7001; Makin AJ, 2021, ECON ANAL POLICY, V69, P340, DOI 10.1016/j.eap.2020.12.016; Mawejje J, 2019, ECON ANAL POLICY, V63, P119, DOI 10.1016/j.eap.2019.05.005; McDonald BD, 2020, J PUBLIC NONPROFIT A, V6, P377, DOI 10.20899/jpna.6.3.377-400; Papadopoulou P, 2019, SPRINGER OPTIM APPL, V145, P219, DOI 10.1007/978-3-030-12767-1_11; Sen Gupta A, 2007, DETERMINANTS TAX REV; Sheremeta RM, 2021, EXP ECON, V24, P355, DOI 10.1007/s10683-020-09673-9; Taing HB, 2021, INT J PUBLIC ADMIN, V44, P62, DOI 10.1080/01900692.2020.1728313; Nguyen TTD, 2020, J ASIAN FINANC ECON, V7, P65, DOI 10.13106/jafeb.2020.vol7.no2.65; Yager R.R., 2002, FUZZY OPTIM DECIS MA, V1, P379, DOI DOI 10.1023/A:1020959313432; YAGER RR, 1988, IEEE T SYST MAN CYB, V18, P183, DOI 10.1109/21.87068; Yager RR, 1999, IEEE T SYST MAN CY B, V29, P141, DOI 10.1109/3477.752789; ZADEH LA, 1965, INFORM CONTROL, V8, P338, DOI 10.1016/S0019-9958(65)90241-X; Zhou SM, 2008, FUZZY SET SYST, V159, P3281, DOI 10.1016/j.fss.2008.06.018</t>
  </si>
  <si>
    <t>TAYLOR &amp; FRANCIS INC</t>
  </si>
  <si>
    <t>PHILADELPHIA</t>
  </si>
  <si>
    <t>530 WALNUT STREET, STE 850, PHILADELPHIA, PA 19106 USA</t>
  </si>
  <si>
    <t>0196-9722</t>
  </si>
  <si>
    <t>1087-6553</t>
  </si>
  <si>
    <t>CYBERNET SYST</t>
  </si>
  <si>
    <t>Cybern. Syst.</t>
  </si>
  <si>
    <t>2022 AUG 5</t>
  </si>
  <si>
    <t>10.1080/01969722.2022.2110687</t>
  </si>
  <si>
    <t>AUG 2022</t>
  </si>
  <si>
    <t>Computer Science, Cybernetics</t>
  </si>
  <si>
    <t>Computer Science</t>
  </si>
  <si>
    <t>3T6EL</t>
  </si>
  <si>
    <t>WOS:000840365000001</t>
  </si>
  <si>
    <t>Alarcon-Granados, MC; Moreno-Ortiz, H; Rondon-Lagos, M; Camargo-Villalba, GE; Forero-Castro, M</t>
  </si>
  <si>
    <t>Alarcon-Granados, Maria Camila; Moreno-Ortiz, Harold; Rondon-Lagos, Milena; Camargo-Villalba, Gloria Eugenia; Forero-Castro, Maribel</t>
  </si>
  <si>
    <t>Study of LHCGR gene variants in a sample of colombian women with polycystic ovarian syndrome: A pilot study</t>
  </si>
  <si>
    <t>JOURNAL OF KING SAUD UNIVERSITY SCIENCE</t>
  </si>
  <si>
    <t>Colombian women; Genetic polymorphisms; LHCGR; Phenotype -genotype associations; Polycystic ovary syndrome</t>
  </si>
  <si>
    <t>HORMONE/CHORIOGONADOTROPIN RECEPTOR; ASSOCIATION; HORMONE; COHORT; SNPS</t>
  </si>
  <si>
    <t>Purpose: To evaluate the association between polymorphisms of the LHCGR gene and PCOS in a sample from Colombian women. Methods: We included 49 Colombian women with PCOS and 49 healthy women. Genotype distributions between groups were compared, and phenotype-genotype association analysis was performed in the PCOS group. Identification of five SNP's in the LHCGR gene was carried out through the iPLEX and MassARRAY system (Agena Bioscience).Results: Our results showed that the rs7371084 variant was negatively associated with PCOS under the codominant, dominant, and overdominant models. Women with the TC + TT genotypes in rs2293275 had shorter menstrual cycles (p = 0.026), and women with the CT + CC genotypes in rs6732721 showed a decrease in the number of antral follicles (p = 0.038). Within the endocrine parameters, we identified associations between GA + GG genotypes in rs13405728 and CT + CC genotypes in rs6732721, and the decrease in LH levels (p = 0.013; p = 0.04, respectively). Women with TC + TT genotypes in rs2293275 had increased DHEAS (p = 0.047) and androstenedione (p = 0.045) levels. Regarding metabolic parameters, we identified associations between GA + GG genotypes in rs13405728 and CT + CC genotypes in rs6732721, and an increase in fasting glucose levels (p = 0.028; p = 0.017, respectively).Conclusion: We found that the rs7371084 variant was negatively associated with PCOS. Also, we identify associations between combined genotypes of the LHCGR gene and the phenotypic traits of PCOS, such as shorter menstrual cycle length, fewer follicles, lower LH levels, and increased DHEAS, androstenedione, and fasting glucose levels. The results of this pilot study provide a basis to clarify the genetics and pathophysiology of PCOS in the Colombian population. Future large-scale studies are recommended for this population.(c) 2022 Published by Elsevier B.V. on behalf of King Saud University.</t>
  </si>
  <si>
    <t>[Alarcon-Granados, Maria Camila; Camargo-Villalba, Gloria Eugenia; Forero-Castro, Maribel] Univ Pedag &amp; Tecnol Colombia, Fac Ciencias Grp Invest Ciencias Biomed GICBUPTC, Tunja 150003, Colombia; [Moreno-Ortiz, Harold] In vitro Colombia SAS, Dept Biogenet Reprod, Bogota, Colombia; [Camargo-Villalba, Gloria Eugenia] Univ Boyaca, Fac Ciencias Salud, Programa Med, Tunja, Colombia; [Forero-Castro, Maribel] Univ Pedag &amp; Tecnol Colombia, Sede Cent Tunja Boyaca, Ave Cent Norte 39-115, Tunja, Colombia</t>
  </si>
  <si>
    <t>Forero-Castro, M (corresponding author), Univ Pedag &amp; Tecnol Colombia, Sede Cent Tunja Boyaca, Ave Cent Norte 39-115, Tunja, Colombia.</t>
  </si>
  <si>
    <t>mcamila.alarcon02@gmail.com; harmor73@gmail.com; sandra.rondon01@uptc.edu.co; gloriacamargo@uniboyaca.edu.co; maribel.forero@uptc.edu.co</t>
  </si>
  <si>
    <t>CAMARGO VILLALBA, GLORIA EUGENIA/0000-0003-4505-7644</t>
  </si>
  <si>
    <t>Research Group in Biomedical Sciences of the UPTC (GICBUPTC) from Universidad Pedagogica y Tecnologica de Colombia [SGI 2386, SGI 2677]; Group of Public Health Research (HYGEA) from Universidad de Boyaca; ISCIII [PT17/0019, PE I + D + i 2013-2016]; ERDF</t>
  </si>
  <si>
    <t>Research Group in Biomedical Sciences of the UPTC (GICBUPTC) from Universidad Pedagogica y Tecnologica de Colombia; Group of Public Health Research (HYGEA) from Universidad de Boyaca; ISCIII(Instituto de Salud Carlos III); ERDF(European Commission)</t>
  </si>
  <si>
    <t>This work was supported by research projects SGI 2386 and SGI 2677 made in agreement between the Research Group in Biomedical Sciences of the UPTC (GICBUPTC) from Universidad Pedagogica y Tecnologica de Colombia and the Group of Public Health Research (HYGEA) from Universidad de Boyaca. The genotyping service was carried out at CEGEN-PRB3-ISCIII; it is supported by grant PT17/0019, of the PE I + D + i 2013-2016, funded by ISCIII and ERDF. We appreciate the advice on the management of the Haploview software provided by Luis Antonio Corchete Sanchez from thw Biology Faculty of Salamanca University (Spain). We would like to thank Ph.D. Ignacio Briceno Balcazar of the Sabana University of Colombia, for his academic concept about LD analysis.</t>
  </si>
  <si>
    <t>Almawi WY, 2015, J ASSIST REPROD GEN, V32, P607, DOI 10.1007/s10815-015-0427-0; Barrett JC, 2005, BIOINFORMATICS, V21, P263, DOI 10.1093/bioinformatics/bth457; Bozdag G, 2016, HUM REPROD, V31, P2841, DOI 10.1093/humrep/dew218; Branavan U, 2020, BMC MED GENET, V21, DOI 10.1186/s12881-020-0961-1; Branavan U, 2018, PLOS ONE, V13, DOI 10.1371/journal.pone.0209830; Brassard M, 2008, MED CLIN N AM, V92, P1163, DOI 10.1016/j.mcna.2008.04.008; Alarcon-Granados MC, 2022, HELIYON, V8, DOI 10.1016/j.heliyon.2022.e09673; Capalbo A, 2012, CLIN ENDOCRINOL, V77, P113, DOI 10.1111/j.1365-2265.2012.04372.x; Chang J, 2004, FERTIL STERIL, V81, P19, DOI 10.1016/j.fertnstert.2003.10.004; Coutinho Eulalia A, 2019, Med Sci (Basel), V7, DOI 10.3390/medsci7080084; Coyle C, 2019, MOL CELL ENDOCRINOL, V498, DOI 10.1016/j.mce.2019.110561; Crespo RP, 2018, ARCH ENDOCRIN METAB, V62, P352, DOI 10.20945/2359-3997000000049; Cui LL, 2013, HUM REPROD, V28, P538, DOI 10.1093/humrep/des424; Ding K, 2007, EUR J HUM GENET, V15, P228, DOI 10.1038/sj.ejhg.5201755; Du T, 2015, BIOMED RES INT, V2015, DOI 10.1155/2015/483726; El-Shal AS, 2016, IUBMB LIFE, V68, P23, DOI 10.1002/iub.1457; Gabriel Stacey, 2009, Curr Protoc Hum Genet, VChapter 2, DOI 10.1002/0471142905.hg0212s60; Ha LX, 2015, PLOS ONE, V10, DOI 10.1371/journal.pone.0126505; Hiam D, 2019, J CLIN MED, V8, DOI 10.3390/jcm8101606; Javed A, 2015, J PEDIATR ADOL GYNEC, V28, P451, DOI 10.1016/j.jpag.2015.01.001; Jones MR, 2015, PLOS GENET, V11, DOI 10.1371/journal.pgen.1005455; Kanamarlapudi V, 2016, REPROD BIOMED ONLINE, V32, P635, DOI 10.1016/j.rbmo.2016.03.003; Lerchbaum E, 2011, HORM METAB RES, V43, P743, DOI 10.1055/s-0031-1286279; Louwers YV, 2013, J CLIN ENDOCR METAB, V98, pE2006, DOI 10.1210/jc.2013-2495; Oeth P., 2005, IPLEXTM ASSAY INCREA, V1, P1; Ossa H, 2016, PLOS ONE, V11, DOI 10.1371/journal.pone.0164414; Robeva R, 2018, BIOTECHNOL BIOTEC EQ, V32, P427, DOI 10.1080/13102818.2017.1423246; Saadia Zaheera, 2020, Med Arch, V74, P289, DOI 10.5455/medarh.2020.74.289-293; Storm Niels, 2003, Methods Mol Biol, V212, P241; Teede H, 2010, BMC MED, V8, DOI 10.1186/1741-7015-8-41; Thathapudi S, 2015, GENET TEST MOL BIOMA, V19, P128, DOI 10.1089/gtmb.2014.0249; Vishnubotla DS, 2020, GENE, V752, DOI 10.1016/j.gene.2020.144760; Welt CK, 2012, J CLIN ENDOCR METAB, V97, pE1342, DOI 10.1210/jc.2011-3478; Woo HY, 2012, ENDOCR J, V59, P781, DOI 10.1507/endocrj.EJ12-0055; Xia JY, 2019, KAOHSIUNG J MED SCI, V35, P49, DOI 10.1002/kjm2.12008; Yumiceba V, 2020, FRONT ENDOCRINOL, V11, DOI 10.3389/fendo.2020.585130; Zhang YJ, 2019, J MATERN-FETAL NEO M, V32, P3801, DOI 10.1080/14767058.2018.1472228; Zhao H, 2013, MOL HUM REPROD, V19, P644, DOI 10.1093/molehr/gat040</t>
  </si>
  <si>
    <t>1018-3647</t>
  </si>
  <si>
    <t>2213-686X</t>
  </si>
  <si>
    <t>J KING SAUD UNIV SCI</t>
  </si>
  <si>
    <t>J. King Saud Univ. Sci.</t>
  </si>
  <si>
    <t>10.1016/j.jksus.2022.102202</t>
  </si>
  <si>
    <t>3B7YR</t>
  </si>
  <si>
    <t>WOS:000828153000011</t>
  </si>
  <si>
    <t>Castillo, JC; Becerra, D; Macias, MA</t>
  </si>
  <si>
    <t>Castillo, Juan-Carlos; Becerra, Diana; Macias, Mario A. A.</t>
  </si>
  <si>
    <t>Crystal Structure, Hirshfeld Surface Analysis, and Computational Study of Quinolin-8-yl 4-Chlorobenzoate: Insights from Spectroscopic, Thermal, and Antitumor Properties</t>
  </si>
  <si>
    <t>CRYSTALS</t>
  </si>
  <si>
    <t>8-hydroxyquinoline; X-ray crystallography; Hirshfeld surface maps; molecular orbitals; cancer</t>
  </si>
  <si>
    <t>POTENTIAL ANTITUMOR; ANTICANCER ACTIVITY; 8-HYDROXYQUINOLINE; CANCER; ELECTROPHILICITY; CHEMOSENSORS; ISOQUINOLINE; DERIVATIVES; ENERGIES; SPECTRA</t>
  </si>
  <si>
    <t>We report the time-efficient synthesis of quinolin-8-yl 4-chlorobenzoate (3) via an O-acylation reaction between 8-hydroxyquinoline (1) and 4-chlorobenzoyl chloride (2) mediated by triethylamine in acetonitrile under heating at 80 degrees C for 20 min in the Monowave 50 reactor. This protocol is distinguished by its short reaction time, operational simplicity, and clean reaction profile. The structure of 3 was fully characterized through a combination of analytical techniques, including NMR, IR, and UV-Vis spectroscopy, MS spectrometry, differential scanning calorimetry (DSC), thermogravimetry (TG), and crystallographic studies. Interestingly, X-ray diffraction analyses of 3 show that the crystal structure is characterized by C-H center dot center dot center dot N, C-H center dot center dot center dot O, Cl center dot center dot center dot pi, and pi center dot center dot center dot pi interactions. The molecular conformation presents an orthogonal orientation between aromatic rings in the solid state. The calculated interaction energies using the CE-B3LYP model show that dispersion forces act in a higher proportion to build the crystal, which is consistent with the few short hydrogen interactions detected. Electrostatic potential maps suggest the formation of sigma-holes over the Cl atoms. Although they can behave as both Lewis acid and base sites, Cl center dot center dot Cl interactions are absent due to the shallow depth of these sigma-holes. Quantum chemical descriptors and global reactivity descriptors were examined using the B3LYP method with the 6-31G(d,p) basis set implemented in CrystalExplorer. Finally, compound 3 exhibited low activity against HOP-92 and EKVX non-Small-cell lung and UO-31 Renal cancer cell lines, with a growth inhibition percentage (GI%) ranging from 6.2% to 18.1%.</t>
  </si>
  <si>
    <t>[Castillo, Juan-Carlos; Becerra, Diana] Univ Pedag &amp; Tecnol Colombia, Escuela Ciencias Quim, Av Cent Norte 39-115, Tunja 150003, Colombia; [Macias, Mario A. A.] Univ Los Andes, Dept Chem, Crystallog &amp; Chem Mat, Carrera 1 18A-10, Bogota 111711, Colombia</t>
  </si>
  <si>
    <t>Castillo, JC (corresponding author), Univ Pedag &amp; Tecnol Colombia, Escuela Ciencias Quim, Av Cent Norte 39-115, Tunja 150003, Colombia.;Macias, MA (corresponding author), Univ Los Andes, Dept Chem, Crystallog &amp; Chem Mat, Carrera 1 18A-10, Bogota 111711, Colombia.</t>
  </si>
  <si>
    <t>juan.castillo06@uptc.edu.co; diana.becerra08@uptc.edu.co; ma.maciasl@uniandes.edu.co</t>
  </si>
  <si>
    <t>; Macias Lopez, Mario Alberto/W-9716-2019</t>
  </si>
  <si>
    <t>Castillo Millan, Juan/0000-0002-6060-2578; Macias Lopez, Mario Alberto/0000-0003-2749-8489</t>
  </si>
  <si>
    <t>Direccion de Investigaciones at the Universidad Pedagogica y Tecnologica de Colombia [SGI-3470]; Facultad de Ciencias at the Universidad de los Andes [FAPA-P18.160422.043]</t>
  </si>
  <si>
    <t>D.B. and J.-C.C. thank the Direccion de Investigaciones at the Universidad Pedagogica y Tecnologica de Colombia for financial support (project number: SGI-3470). M.A.M. acknowledges support from the Facultad de Ciencias at the Universidad de los Andes (project number: FAPA-P18.160422.043). We are grateful to the National Cancer Institute (NCI, USA) forperforming the anticancer evaluation of compound3. We also acknowledge Universidad del Valleand Universidad de Alcalafor acquiring EI-MS and NMR spectra, respectively. The authors thank Anton Paar Colombia S.A.S. for loaning the reactor Monowave 50 (Anton Paar GmbH).</t>
  </si>
  <si>
    <t>Abonia R, 2012, EUR J MED CHEM, V57, P29, DOI 10.1016/j.ejmech.2012.08.039; Afzal O, 2015, EUR J MED CHEM, V97, P871, DOI 10.1016/j.ejmech.2014.07.044; [Anonymous], 2018, CRYSALISPRO 11713946; anton-paar, DET MON 50 INSTR; Antonijevic IS, 2016, CRYST GROWTH DES, V16, P632, DOI 10.1021/acs.cgd.5b01058; Bahgat K, 2007, CENT EUR J CHEM, V5, P201, DOI 10.2478/s11532-006-0061-x; Bell J, 2014, NEW J CHEM, V38, P1072, DOI 10.1039/c3nj01308a; Bowles DW, 2011, DRUG TODAY, V47, P857, DOI 10.1358/dot.2011.47.11.1688487; Brow DG, 2016, J MED CHEM, V59, P4443, DOI 10.1021/acs.jmedchem.5b01409; Cabanillas ME, 2016, CANCER TREAT REV, V42, P47, DOI 10.1016/j.ctrv.2015.11.003; Castillo JC, 2022, J MOL STRUCT, V1268, DOI 10.1016/j.molstruc.2022.133713; Chabukswar AR, 2016, ARAB J CHEM, V9, P704, DOI 10.1016/j.arabjc.2014.10.046; Corma A, 2007, CHEM REV, V107, P2411, DOI 10.1021/cr050989d; Ding WQ, 2005, CANCER RES, V65, P3389, DOI 10.1158/0008-5472.CAN-04-3577; Dorababu A, 2020, CHEMISTRYSELECT, V5, P13902, DOI 10.1002/slct.202003888; Fernandes RF, 2016, VIB SPECTROSC, V86, P128, DOI 10.1016/j.vibspec.2016.06.005; Gao LB, 2016, HETEROATOM CHEM, V27, P54, DOI 10.1002/hc.21301; Garcia-Olave M, 2023, J MOL STRUCT, V1272, DOI 10.1016/j.molstruc.2022.134181; Geerlings P, 2003, CHEM REV, V103, P1793, DOI 10.1021/cr990029p; Ghanim AM, 2022, BIOORG CHEM, V119, DOI 10.1016/j.bioorg.2021.105557; GIRALDO DAM, 2022, J MOL STRUCT, V1271; Gupta R, 2021, BIOORG CHEM, V108, DOI 10.1016/j.bioorg.2021.104633; Hu S, 2018, EUR J MED CHEM, V158, P884, DOI 10.1016/j.ejmech.2018.09.037; Ilakiyalakshmi M, 2022, ARAB J CHEM, V15, DOI 10.1016/j.arabjc.2022.104168; Insuasty B, 2013, EUR J MED CHEM, V67, P252, DOI 10.1016/j.ejmech.2013.06.049; Jain S, 2019, ARAB J CHEM, V12, P4920, DOI 10.1016/j.arabjc.2016.10.009; Janghouri M, 2018, J ELECTRON MATER, V47, P2761, DOI 10.1007/s11664-018-6131-y; Jarvis B, 2000, DRUGS, V59, P891, DOI 10.2165/00003495-200059040-00015; Jayatilaka D., 2005, TONTO A SYST COMP CH; Jiang HC, 2011, CANCER LETT, V312, P11, DOI 10.1016/j.canlet.2011.06.032; Joaquim AR, 2021, J MED CHEM, V64, P16349, DOI 10.1021/acs.jmedchem.1c01318; Krishnakumar V, 2005, SPECTROCHIM ACTA A, V61, P673, DOI 10.1016/j.saa.2004.05.030; Loiseau PM, 2022, MOLECULES, V27, DOI 10.3390/molecules27072313; Mackenzie CF, 2017, IUCRJ, V4, P575, DOI 10.1107/S205225251700848X; Macrae CF, 2008, J APPL CRYSTALLOGR, V41, P466, DOI 10.1107/S0021889807067908; Maddocks CJ, 2020, SYNLETT, V31, P1608, DOI 10.1055/s-0040-1707187; Mameli M, 2010, CHEM-EUR J, V16, P919, DOI 10.1002/chem.200902005; Marella A, 2013, SAUDI PHARM J, V21, P1, DOI 10.1016/j.jsps.2012.03.002; Mohamed MFA, 2020, RSC ADV, V10, P31139, DOI 10.1039/d0ra05594h; Mulliken RS, 1934, J CHEM PHYS, V2, DOI 10.1063/1.1749394; Muruganantham N, 2004, BIOL PHARM BULL, V27, P1683, DOI 10.1248/bpb.27.1683; Musiol R, 2017, EXPERT OPIN DRUG DIS, V12, P583, DOI 10.1080/17460441.2017.1319357; Musiol R, 2013, CURR PHARM DESIGN, V19, P1835, DOI 10.2174/1381612811319100008; Nataraj A, 2013, J MOL STRUCT, V1031, P221, DOI 10.1016/j.molstruc.2012.09.047; Obermayer D, 2016, J ORG CHEM, V81, P11788, DOI 10.1021/acs.joc.6b02242; Oliveri V, 2016, EUR J MED CHEM, V120, P252, DOI 10.1016/j.ejmech.2016.05.007; Palatinus L, 2007, J APPL CRYSTALLOGR, V40, P786, DOI 10.1107/S0021889807029238; Park Y, 2017, RSC ADV, V7, P41955, DOI 10.1039/c7ra05287a; Parr RG, 1999, J AM CHEM SOC, V121, P1922, DOI 10.1021/ja983494x; Pearce DA, 2001, J AM CHEM SOC, V123, P5160, DOI 10.1021/ja0039839; Politzer P, 1998, THEOR CHEM ACC, V99, P83, DOI 10.1007/s002140050307; Rossari F, 2018, J HEMATOL ONCOL, V11, DOI 10.1186/s13045-018-0624-2; Saadeh HA, 2020, MOLECULES, V25, DOI 10.3390/molecules25184321; Salinas-Torres A, 2023, J MOL STRUCT, V1274, DOI 10.1016/j.molstruc.2022.134414; Saral A, 2021, HELIYON, V7, DOI 10.1016/j.heliyon.2021.e07529; Serrano-Sterling C, 2021, J MOL STRUCT, V1244, DOI 10.1016/j.molstruc.2021.130944; Sheldrick GM, 2015, ACTA CRYSTALLOGR C, V71, P3, DOI [10.1107/S0108767307043930, 10.1107/S2053229614024218]; Silverstein RM., 2014, SPECTROMETRIC IDENTI; Spackman MA, 2008, CRYSTENGCOMM, V10, P377, DOI 10.1039/b715227b; Spackman MA, 2009, CRYSTENGCOMM, V11, P19, DOI 10.1039/b818330a; Teng P, 2018, BIOORGAN MED CHEM, V26, P3573, DOI 10.1016/j.bmc.2018.05.031; Tobiszewski M, 2017, GREEN CHEM, V19, P1034, DOI 10.1039/c6gc03424a; Turner M. J., 2017, CRYSTALEXPLORER17; Vandekerckhove S, 2013, BIOORG MED CHEM LETT, V23, P4641, DOI 10.1016/j.bmcl.2013.06.014; Venditto VJ, 2010, MOL PHARMACEUT, V7, P307, DOI 10.1021/mp900243b; Vivas-Reyes R, 2008, ORG ELECTRON, V9, P625, DOI 10.1016/j.orgel.2008.04.004; Xiao LF, 2010, TETRAHEDRON, V66, P2835, DOI 10.1016/j.tet.2010.02.039; Zajdel P, 2014, FUTURE MED CHEM, V6, P57, DOI [10.4155/FMC.13.158, 10.4155/fmc.13.158]; Zhang H, 2005, ORG LETT, V7, P4217, DOI 10.1021/ol051614h</t>
  </si>
  <si>
    <t>2073-4352</t>
  </si>
  <si>
    <t>Crystals</t>
  </si>
  <si>
    <t>10.3390/cryst13040694</t>
  </si>
  <si>
    <t>Crystallography; Materials Science, Multidisciplinary</t>
  </si>
  <si>
    <t>Crystallography; Materials Science</t>
  </si>
  <si>
    <t>F0KF5</t>
  </si>
  <si>
    <t>WOS:000979315100001</t>
  </si>
  <si>
    <t>Morales-Alba, A; Morales, I; Alvarado, F</t>
  </si>
  <si>
    <t>Morales-Alba, Andres; Morales, Irina; Alvarado, Fredy</t>
  </si>
  <si>
    <t>Bigger and stronger bury deeper: the role of dung beetles as secondary seed dispersers in the northern Colombian Andes</t>
  </si>
  <si>
    <t>INTERNATIONAL JOURNAL OF TROPICAL INSECT SCIENCE</t>
  </si>
  <si>
    <t>Biotic interactions; Diplochory; Ecosystem functions; Scarabaeinae</t>
  </si>
  <si>
    <t>RAIN-FOREST; LIVESTOCK INTENSIFICATION; ECOLOGICAL ROLE; COMMUNITIES; SCARABAEINAE; SIZE; ESTABLISHMENT; COLEOPTERA; PREDATION; IMPACT</t>
  </si>
  <si>
    <t>Ecosystem services as seed dispersal mediated by insects are threatened by increasing agricultural expansion that represents a global threat. Although the ecological role of dung beetles as secondary seed dispersers has been well-documented, few studies have focused on the effect of taxonomic and functional attributes of dung beetles in human-dominated landscapes. We analysed how the seed size, the diversity of the dung beetles and some of their functional traits (body size, length of the hind legs and relocation strategy) affect the depth and quantity of seeds buried and abundance and richness of beetles at different depths in a forest in the Colombian Andes. We used plastic cubes buried in the ground (mesocosms) to study ecosystem functions of dung beetles. We collected 397 individuals representing 13 species within the mesocosms. The most abundant species of dung beetle collected was Canthidium sp. 1 with 152 individuals. Of the total seeds collected, 91% of the total seeds used were buried, and the small ones were buried in a greater proportion than the larger ones. Seed size did not influence burial depth, but beetle taxonomic attributes did, but only for large seeds. Burial depth was positively related to beetle richness and abundance, as well as to body size. Large beetles buried more seeds and buried them deeper. We highlight the importance of Dichotomius aff. satanas as a key seed disperser of Andean riparian forests. We emphasize that this beetle actively participated in seed dispersal, and that this ecological function depended on the taxonomic and functional attributes of the dung beetle species.</t>
  </si>
  <si>
    <t>[Morales-Alba, Andres; Morales, Irina] Univ Pedag &amp; Tecnol Colombia, Lab Entomol, Tunja 150008, Boyaca, Colombia; [Alvarado, Fredy] Univ Paraiba, Dept Agr, Posgrad Program Agr Sci Agroecol, PPGCAG, Campus III Cidade Univ, BR-58220000 Bananeiras, PB, Brazil</t>
  </si>
  <si>
    <t>Morales, I (corresponding author), Univ Pedag &amp; Tecnol Colombia, Lab Entomol, Tunja 150008, Boyaca, Colombia.</t>
  </si>
  <si>
    <t>irina.morales@uptc.edu.co</t>
  </si>
  <si>
    <t>MORALES, IRINA/0000-0003-2456-5674</t>
  </si>
  <si>
    <t>Sistematica Biologica research group [5211740]; Sistema General de Regalias of Colombia [BPIN 2020000100003]</t>
  </si>
  <si>
    <t>Sistematica Biologica research group; Sistema General de Regalias of Colombia</t>
  </si>
  <si>
    <t>We extended our thanks to Renato Portela Salomao, Juan Carvajal, Alejandro Lopera and Camilo Roa for the valuable comments on a previous version of this manuscript. This paper benefited from the useful comments of Drs. Michael Lattorff, Saliou Niassy and two anonymous reviewers of journal JTIS. The Sistematica Biologica research group provided financial and logistical support with the Project Restauracion Ecologica de 16 y 18 ha en el Parque Nacional Natural Serrania de Los Yariguies CONVENIO 5211740. ECOPRETROL-UPTC. Oscar Felipe Moreno and John Edison Reyes were part of the field team. Finally, we express our gratitude to the program Upetecistas por el mundo (DIN Call No 2-2019) of the Direccion de Investigaciones, of the Universidad Pedagogica y Tecnologica de Colombia. This manuscript was produced within the framework of the La biodiversidad de Boyaca: Complementacion y sintesis a traves de gradientes altitudinales e implementaciones de su incorporacion en proyectos de apropiacion social de conocimiento y efectos del cambio climatico, Boyaca BPIN 2020000100003, financed by the Sistema General de Regalias of Colombia.</t>
  </si>
  <si>
    <t>Urrea-Galeano LA, 2019, BIOTROPICA, V51, P186, DOI 10.1111/btp.12631; Alvarado F, 2019, APPL SOIL ECOL, V143, P173, DOI 10.1016/j.apsoil.2019.06.016; Alvarado F, 2018, J APPL ECOL, V55, P185, DOI 10.1111/1365-2664.12957; Andresen E, 2002, ECOL ENTOMOL, V27, P257, DOI 10.1046/j.1365-2311.2002.00408.x; Andresen E, 2004, OECOLOGIA, V139, P45, DOI 10.1007/s00442-003-1480-4; Andresen Ellen, 2005, P331, DOI 10.1079/9780851998060.0331; Andresen Ellen, 2005, Universidad y Ciencias, P73; Anduaga S, 2004, ENVIRON ENTOMOL, V33, P1306, DOI 10.1603/0046-225X-33.5.1306; Braga RF, 2017, J TROP ECOL, V33, P407, DOI 10.1017/S0266467417000335; Braga RF, 2013, PLOS ONE, V8, DOI 10.1371/journal.pone.0057786; Cannon PG, 2019, GLOBAL CHANGE BIOL, V25, P1576, DOI 10.1111/gcb.14601; Carvalho RL, 2020, ECOL INDIC, V109, DOI 10.1016/j.ecolind.2019.105841; Cendales, 2008, PARQUES NACL NATURAL, V20, P1; Clerici N, 2020, SCI REP-UK, V10, DOI 10.1038/s41598-020-61861-y; Core Team R., 2013, R LANG ENV STAT COMP; Corlett RT, 2017, GLOB ECOL CONSERV, V11, P1, DOI 10.1016/j.gecco.2017.04.007; Culot L, 2018, INT J PRIMATOL, V39, P397, DOI 10.1007/s10764-018-0041-y; Culot L, 2013, BIOL CONSERV, V163, P79, DOI 10.1016/j.biocon.2013.04.004; Dalling J., 2002, ECOLOGIA CONSERVACIO, P345; De Castelnau F, 1840, HIST NATURELLE INSEC, V1; deCastro-Arrazola I, 2020, ECOLOGY, V101, DOI 10.1002/ecy.3138; Etter A., 2015, ESTADO ECOSISTEMAS C; Feer F, 2013, ECOL RES, V28, P93, DOI 10.1007/s11284-012-1006-9; Filgueiras BKC, 2011, BIOL CONSERV, V144, P362, DOI 10.1016/j.biocon.2010.09.013; FOSTER SA, 1985, ECOLOGY, V66, P773, DOI 10.2307/1940538; Genier F., 2009, Le genre Eurysternus Dalman, 1824 (Scarabaeidae: Scarabaeinae: Oniticellini), revision taxonomique et cles de determination illustrees; Gray CL, 2014, ECOL EVOL, V4, P1049, DOI 10.1002/ece3.1003; Gray CL, 2015, J APPL ECOL, V52, P31, DOI 10.1111/1365-2664.12371; Griffiths HM, 2016, P ROY SOC B-BIOL SCI, V283, DOI 10.1098/rspb.2016.1634; Griffiths HM, 2015, ECOLOGY, V96, P1607, DOI 10.1890/14-1211.1; Halffter G., 1982, The nesting behavior of dung beetles (Scarabaeinae). An ecological and evolutive approach.; Hanski I., 1991, P305; Harold, 1867, DIAGNOSEN NEUER COPR, V1, P76; Harold E. Von., 1868, Berliner Entomologische Zeitschrift, P1; Holdridge L. R., 1967, Life zone ecology.; Koike S, 2012, WILDLIFE BIOL, V18, P24, DOI 10.2981/10-049; Kunz BK, 2011, INTEGR ZOOL, V6, P81, DOI 10.1111/j.1749-4877.2011.00240.x; Lahteenmaki S, 2015, METHODS ECOL EVOL, V6, P916, DOI 10.1111/2041-210X.12367; Larsen TH, 2005, BIOTROPICA, V37, P322, DOI 10.1111/j.1744-7429.2005.00042.x; Laskowski L., 2002, Bioagro, V14, P77; Latreille PA, 1811, VOYAGE REGIONS EQUIN, P197; Lawson CR, 2012, BIOTROPICA, V44, P271, DOI 10.1111/j.1744-7429.2012.00871.x; Luis Rangel-Acosta Jorge, 2016, ENTOMOTROPICA, V31, P109; Martinez J, 2016, 24TH INTERNATIONAL CONFERENCE ON COMPUTERS IN EDUCATION (ICCE 2016), P1; Milotic T, 2019, J BIOGEOGR, V46, P70, DOI 10.1111/jbi.13452; Mora C, 2014, SCI REP-UK, V4, DOI 10.1038/srep05427; Moreno H, 2018, PARQUES NACL NATURAL, P152; Munoz-Avila JA, 2018, REVELANDO TESOROS ES, P290; Nervo B, 2014, PLOS ONE, V9, DOI 10.1371/journal.pone.0107699; Nichols E, 2008, BIOL CONSERV, V141, P1461, DOI 10.1016/j.biocon.2008.04.011; Noriega J.A., 2007, Universitas Scientiarum, V12, P51; Ocampo-Castillo Julissa, 2018, TIP, V21, P24, DOI 10.1016/j.recqb.2017.08.003; Pearson TRH, 2002, ECOLOGY, V83, P2798, DOI 10.1890/0012-9658(2002)083[2798:GEONPI]2.0.CO;2; Quintero-Leon L, 2008, INFORME FINAL CARACT; Salas JB, 2011, FREMONTIA, P50; Santos-Heredia C, 2014, J TROP ECOL, V30, P409, DOI 10.1017/S0266467414000376; Santos-Heredia C, 2011, INTEGR ZOOL, V6, P399, DOI 10.1111/j.1749-4877.2011.00261.x; Sarmiento-Garces Rodrigo, 2009, Revista de la Academia Colombiana de Ciencias Exactas Fisicas y Naturales, V33, P285; Shepherd VE, 1998, J TROP ECOL, V14, P199, DOI 10.1017/S0266467498000169; Silva RJ, 2016, J INSECT CONSERV, V20, P549, DOI 10.1007/s10841-016-9885-7; Slade EM, 2007, J ANIM ECOL, V76, P1094, DOI 10.1111/j.1365-2656.2007.01296.x; Thompson K., 2000, Seeds: the ecology of regeneration in plant communities, P215, DOI 10.1079/9780851994321.0215; Vander Wall SB, 2004, TRENDS ECOL EVOL, V19, P155, DOI 10.1016/j.tree.2003.12.004; Viegas G, 2014, ECOL INDIC, V36, P703, DOI 10.1016/j.ecolind.2013.09.036; Vulinec K, 2002, BIOTROPICA, V34, P297, DOI 10.1111/j.1744-7429.2002.tb00541.x; Zuur Alain., 2009, J STAT SOFTWARE BOOK, DOI [DOI 10.18637/JSS.V032.B0, 10.1007/978-0-387-87458-6]</t>
  </si>
  <si>
    <t>1742-7584</t>
  </si>
  <si>
    <t>1742-7592</t>
  </si>
  <si>
    <t>INT J TROP INSECT SC</t>
  </si>
  <si>
    <t>Int. J. Trop. Insect Sci.</t>
  </si>
  <si>
    <t>10.1007/s42690-022-00748-z</t>
  </si>
  <si>
    <t>Entomology</t>
  </si>
  <si>
    <t>1L5HP</t>
  </si>
  <si>
    <t>WOS:000750320500001</t>
  </si>
  <si>
    <t>Nope, E; Sathicq, AG; Martinez, JJ; Rojas, H; Macias, MA; Castillo, JC; Romanelli, G</t>
  </si>
  <si>
    <t>Nope, Eliana; Sathicq, Angel G.; Martinez, Jose J.; Rojas, Hugo; Macias, Mario A.; Castillo, Juan-Carlos; Romanelli, Gustavo</t>
  </si>
  <si>
    <t>Solvent-Free Microwave-Assisted Multicomponent Synthesis of 4H-Chromenes Using Fe3O4-Based Hydrotalcites as Bifunctional Catalysts</t>
  </si>
  <si>
    <t>CHEMISTRYSELECT</t>
  </si>
  <si>
    <t>4H-chromene; magnetic hydrotalcites; microwave chemistry; multicomponent reactions; sustainable synthesis</t>
  </si>
  <si>
    <t>ONE-POT SYNTHESIS; LAYERED DOUBLE HYDROXIDES; ACID-BASE CATALYST; 3-COMPONENT SYNTHESIS; HIGHLY EFFICIENT; 2-AMINO-4H-CHROMENE DERIVATIVES; SPIROOXINDOLE DERIVATIVES; HETEROGENEOUS CATALYST; MAGNETIC SEPARATION; GREEN CHEMISTRY</t>
  </si>
  <si>
    <t>Magnetic Fe3O4-based hydrotalcites were used as bifunctional catalysts for the microwave-assisted solvent-free synthesis of 4H-chromene derivatives by a three-component reaction from (hetero)aromatic aldehydes, malononitrile, and naphthol derivatives. Structures of 4H-chromenes 4 d and 4 g were studied and confirmed by single-crystal X-ray diffraction analysis. The heterogeneous catalysts were synthesized by the co-precipitation method incorporating divalent metal cations such as Ni2+ or Co2+ in LDH-Mg. This multicomponent protocol allows the synthesis of diverse 4H-chromenes in 88-95 % yields, reduced reaction time, high atom economy, broad substrate scope, and operational simplicity. The reusability of the catalyst up to five recycles without appreciable loss of its catalytic activity, make the present protocol sustainable and advantageous compared to conventional methods.</t>
  </si>
  <si>
    <t>[Nope, Eliana; Sathicq, Angel G.; Romanelli, Gustavo] Univ Nacl La Plata, Ctr Invest &amp; Desarrollo Ciencias Aplicadas Dr Jor, Calle 47 257,B1900AJK, La Plata, Argentina; [Martinez, Jose J.; Rojas, Hugo; Castillo, Juan-Carlos] Univ Pedag &amp; Tecnol Colombia, Escuela Ciencias Quim, Ave Cent Norte 39-115, Tunja, Colombia; [Macias, Mario A.] Univ Los Andes, Dept Chem, Crystallog &amp; Chem Mat, CrisQuimMat, Carrera 1 18 A-10, Bogota, Colombia; [Romanelli, Gustavo] Univ Nacl La Plata, Ctr Invest Sanidad Vegetal CISaV, Catedra Quim Organ, Fac Ciencias Agr &amp; Forestales, Calles 60 &amp; 119 S-N,B1904AAN, La Plata, Argentina</t>
  </si>
  <si>
    <t>National University of La Plata; Universidad Pedagogica y Tecnologica de Colombia (UPTC); Universidad de los Andes (Colombia); National University of La Plata</t>
  </si>
  <si>
    <t>Romanelli, G (corresponding author), Univ Nacl La Plata, Ctr Invest &amp; Desarrollo Ciencias Aplicadas Dr Jor, Calle 47 257,B1900AJK, La Plata, Argentina.;Castillo, JC (corresponding author), Univ Pedag &amp; Tecnol Colombia, Escuela Ciencias Quim, Ave Cent Norte 39-115, Tunja, Colombia.;Romanelli, G (corresponding author), Univ Nacl La Plata, Ctr Invest Sanidad Vegetal CISaV, Catedra Quim Organ, Fac Ciencias Agr &amp; Forestales, Calles 60 &amp; 119 S-N,B1904AAN, La Plata, Argentina.</t>
  </si>
  <si>
    <t>juan.castillo06@uptc.edu.co; gpr@quimica.unlp.edu.ar</t>
  </si>
  <si>
    <t>Martínez, José/G-1924-2018; Macías, Mario Alberto/W-9716-2019; Millán, Juan Castillo/AAM-5433-2020</t>
  </si>
  <si>
    <t>Martínez, José/0000-0002-4906-7121; Macías, Mario Alberto/0000-0003-2749-8489; Millán, Juan Castillo/0000-0002-6060-2578; NOPE VARGAS, ELIANA ROCIO/0000-0002-9653-3527</t>
  </si>
  <si>
    <t>CONICET [PIP 0084]; UNLP [X732]; ANPCYT [0409]; Universidad Pedagogica y Tecnologica de Colombia; Departamento de Quimica and Facultad de Ciencias at the Universidad de los Andes, Colombia [FAPA-P18.160422.043]</t>
  </si>
  <si>
    <t>CONICET(Consejo Nacional de Investigaciones Cientificas y Tecnicas (CONICET)); UNLP(National University of La Plata); ANPCYT(ANPCyT); Universidad Pedagogica y Tecnologica de Colombia; Departamento de Quimica and Facultad de Ciencias at the Universidad de los Andes, Colombia</t>
  </si>
  <si>
    <t>E.N., A.G.S. and G.R. are grateful to CONICET (PIP 0084), UNLP (X732) and ANPCYT (0409) for financial support. Moreover, J.J.M., H.R. and J.-C.C. acknowledge to Universidad Pedagogica y Tecnologica de Colombia for financial support. Ultimately, M.A.M. thanks the support of the Departamento de Quimica and Facultad de Ciencias at the Universidad de los Andes, Colombia (project FAPA-P18.160422.043).</t>
  </si>
  <si>
    <t>Abonia R, 2018, ARKIVOC, P170, DOI 10.24820/ark.5550190.p010.284; Adachi-Pagano M, 2003, J MATER CHEM, V13, P1988, DOI 10.1039/b302747n; Al-Matar H.M., 2018, ARKIVOC, V16, P288; Amirheidari B, 2016, RES CHEM INTERMEDIAT, V42, P3413, DOI 10.1007/s11164-015-2220-1; Andraos J, 2005, ORG PROCESS RES DEV, V9, P149, DOI 10.1021/op049803n; Andraos J, 2016, ACS SUSTAIN CHEM ENG, V4, P1917, DOI 10.1021/acssuschemeng.5b01554; Baghbanian SM, 2013, GREEN CHEM, V15, P3446, DOI 10.1039/c3gc41302k; Balalaie S, 2006, SYNLETT, P263, DOI 10.1055/s-2006-926227; Bi X, 2014, ACS APPL MATER INTER, V6, P20498, DOI 10.1021/am506113s; Bodhak C, 2015, RSC ADV, V5, P85202, DOI 10.1039/c5ra16259a; Bryan MC, 2018, GREEN CHEM, V20, P5082, DOI 10.1039/c8gc01276h; Chagas LH, 2015, MATER RES BULL, V64, P207, DOI 10.1016/j.materresbull.2014.12.062; Chen CP, 2011, J MATER CHEM, V21, P1218, DOI 10.1039/c0jm01696a; Chen L, 2017, RES CHEM INTERMEDIAT, V43, P6691, DOI 10.1007/s11164-017-3015-3; Chung ST, 2016, RES CHEM INTERMEDIAT, V42, P1195, DOI 10.1007/s11164-015-2081-7; Costa M, 2016, EUR J MED CHEM, V123, P487, DOI 10.1016/j.ejmech.2016.07.057; Dandia A, 2011, GREEN CHEM, V13, P2135, DOI 10.1039/c1gc15244k; Das D, 2021, MONATSH CHEM, V152, P987, DOI 10.1007/s00706-021-02824-5; Dekamin MG, 2014, GREEN CHEM, V16, P4914, DOI 10.1039/c4gc00411f; Dekamin MG, 2013, TETRAHEDRON, V69, P1074, DOI 10.1016/j.tet.2012.11.068; Domling A, 2012, CHEM REV, V112, P3083, DOI 10.1021/cr100233r; Evans DG, 2006, CHEM COMMUN, P485, DOI 10.1039/b510313b; Fallah M, 2019, APPL ORGANOMET CHEM, V33, DOI 10.1002/aoc.4801; Gaspar A, 2014, CHEM REV, V114, P4960, DOI 10.1021/cr400265z; Gonzalez-Rodal D, 2021, MICROPOR MESOPOR MAT, V323, DOI 10.1016/j.micromeso.2021.111232; Gu Z, 2015, CHEM COMMUN, V51, P3024, DOI 10.1039/c4cc07715f; Hamadi H., 2011, INT J HETEROCYCL CHE, V1, P23; Hayler JD, 2019, ORGANOMETALLICS, V38, P36, DOI 10.1021/acs.organomet.8b00566; Heidarizadeh F, 2016, RES CHEM INTERMEDIAT, V42, P3829, DOI 10.1007/s11164-015-2247-3; Heravi MM, 2007, BIOORG MED CHEM LETT, V17, P4262, DOI 10.1016/j.bmcl.2007.05.023; Hershberger JC, 2006, J ORG CHEM, V71, P231, DOI 10.1021/jo052105w; Indrasena A, 2014, ASIAN J CHEM, V26, P2221, DOI 10.14233/ajchem.2014.15657; Insuasty D, 2020, MOLECULES, V25, DOI 10.3390/molecules25030505; Jin TS, 2006, SYNTHETIC COMMUN, V36, P2009, DOI 10.1080/00397910600632096; Kagunya W, 1996, INORG CHEM, V35, P5970, DOI 10.1021/ic960047e; Kale SR, 2013, CATAL SCI TECHNOL, V3, P2050, DOI 10.1039/c3cy20856g; Kalska-Szostko B, 2015, BEILSTEIN J NANOTECH, V6, P1385, DOI 10.3762/bjnano.6.143; Kappe CO, 2013, ACCOUNTS CHEM RES, V46, P1579, DOI 10.1021/ar300318c; Kappe CO, 2013, ANGEW CHEM INT EDIT, V52, P1088, DOI 10.1002/anie.201204103; Khan MN, 2014, RSC ADV, V4, P3732, DOI 10.1039/c3ra45252b; Khazaee A, 2020, GREEN CHEM, V22, P4604, DOI 10.1039/d0gc01274b; Khurana JM, 2013, SYNTHETIC COMMUN, V43, P2294, DOI 10.1080/00397911.2012.700474; Koenig SG, 2019, ACS SUSTAIN CHEM ENG, V7, P16937, DOI 10.1021/acssuschemeng.9b02842; Kumar D, 2007, TETRAHEDRON, V63, P3093, DOI 10.1016/j.tet.2007.02.019; Kundu SK, 2013, DALTON T, V42, P10515, DOI 10.1039/c3dt50947h; Lange JP, 2021, NAT CATAL, V4, P186, DOI 10.1038/s41929-021-00585-2; Liandi AR, 2020, MATER TODAY-PROC, V22, P193; Maggi R, 2004, TETRAHEDRON LETT, V45, P2297, DOI 10.1016/j.tetlet.2004.01.115; Malefo MS, 2020, J NAT PROD, V83, P2508, DOI 10.1021/acs.jnatprod.0c00587; Mamaghani M, 2018, CURR ORG CHEM, V22, P1704, DOI 10.2174/1385272822666180530104302; Martinez JJ, 2014, CATAL LETT, V144, P1322, DOI 10.1007/s10562-014-1267-8; Mi F, 2011, CHEM COMMUN, V47, P12804, DOI 10.1039/c1cc15858a; Mirjalili BF, 2016, J MOL STRUCT, V1116, P102, DOI 10.1016/j.molstruc.2016.03.002; Moghaddam FM, 2020, SCI REP-UK, V10, DOI 10.1038/s41598-020-77872-8; Mohire PP, 2018, J HETEROCYCLIC CHEM, V55, P1010, DOI 10.1002/jhet.3133; Nagaraju S, 2017, TETRAHEDRON LETT, V58, P4200, DOI 10.1016/j.tetlet.2017.09.060; Niknam K, 2013, CHINESE J CATAL, V34, P2245, DOI 10.1016/S1872-2067(12)60693-7; Nope E, 2022, CHEMISTRYSELECT, V7, DOI 10.1002/slct.202104360; Nope E, 2020, CATALYSTS, V10, DOI 10.3390/catal10010070; Nyaba L, 2021, SCI REP-UK, V11, DOI 10.1038/s41598-021-81839-8; Padvi SA, 2016, CHINESE CHEM LETT, V27, P714, DOI 10.1016/j.cclet.2016.01.016; Palermo V, 2019, ORG PREP PROCED INT, V51, P443, DOI 10.1080/00304948.2018.1549903; Peng YQ, 2007, CATAL COMMUN, V8, P111, DOI 10.1016/j.catcom.2006.05.031; Pontes O, 2018, EUR J MED CHEM, V157, P101, DOI 10.1016/j.ejmech.2018.07.058; Rajput JK, 2014, CATAL SCI TECHNOL, V4, P142, DOI 10.1039/c3cy00594a; Reddy SS, 2021, CHEMISTRYSELECT, V6, P2335, DOI 10.1002/slct.202100342; Reis J, 2017, J MED CHEM, V60, P7941, DOI 10.1021/acs.jmedchem.6b01720; Rodriguez Alejandra, 2020, Ciencia en Desarrollo, V11, P63, DOI 10.19053/01217488.v11.n1.2020.10973; Rotstein BH, 2014, CHEM REV, V114, P8323, DOI 10.1021/cr400615v; Salamat-Mamakani J, 2021, APPL PHYS A-MATER, V127, DOI 10.1007/s00339-021-04398-9; Salimi M, 2020, INORG CHEM COMMUN, V119, DOI 10.1016/j.inoche.2020.108081; Shan RR, 2014, CHEM ENG J, V252, P38, DOI 10.1016/j.cej.2014.04.105; Shao MF, 2012, J AM CHEM SOC, V134, P1071, DOI 10.1021/ja2086323; Shekoohi K, 2017, METHODSX, V4, P86, DOI 10.1016/j.mex.2017.01.003; Shitole NV, 2010, GREEN CHEM LETT REV, V3, P83, DOI 10.1080/17518250903567246; Subramaniam B, 2016, ACS SUSTAIN CHEM ENG, V4, P5859, DOI 10.1021/acssuschemeng.6b01571; Surpur MP, 2009, TETRAHEDRON LETT, V50, P719, DOI 10.1016/j.tetlet.2008.11.114; Tashrifi Z, 2020, MOL DIVERS, V24, P1385, DOI 10.1007/s11030-019-09994-9; Velazquez-Herrera FD, 2020, MICROPOR MESOPOR MAT, V309, DOI 10.1016/j.micromeso.2020.110569; Wang DF, 2015, APPL CATAL A-GEN, V505, P478, DOI 10.1016/j.apcata.2015.04.034; Yan LG, 2015, J COLLOID INTERF SCI, V448, P508, DOI 10.1016/j.jcis.2015.02.048; Yi FP, 2005, TETRAHEDRON LETT, V46, P3931, DOI 10.1016/j.tetlet.2005.03.197; Younus HA, 2021, EXPERT OPIN THER PAT, V31, P267, DOI 10.1080/13543776.2021.1858797; Zhang FR, 2012, POWDER TECHNOL, V228, P250, DOI 10.1016/j.powtec.2012.05.026; Zhang H, 2013, J MATER CHEM A, V1, P5934, DOI 10.1039/c3ta10349h; Zhao SZ, 2018, MATER CHEM PHYS, V205, P35, DOI 10.1016/j.matchemphys.2017.11.002</t>
  </si>
  <si>
    <t>2365-6549</t>
  </si>
  <si>
    <t>ChemistrySelect</t>
  </si>
  <si>
    <t>MAR 15</t>
  </si>
  <si>
    <t>e202104360</t>
  </si>
  <si>
    <t>10.1002/slct.202104360</t>
  </si>
  <si>
    <t>ZW7NO</t>
  </si>
  <si>
    <t>WOS:000771395600045</t>
  </si>
  <si>
    <t>Mancipe, S; Castillo, JC; Brijaldo, MH; Lopez, VP; Rojas, H; Macias, MA; Portilla, J; Romanelli, GP; Martinez, JJ; Luque, R</t>
  </si>
  <si>
    <t>Mancipe, Sonia; Castillo, Juan-Carlos; Brijaldo, Maria H.; Lopez, Viviana P.; Rojas, Hugo; Macias, Mario A.; Portilla, Jaime; Romanelli, Gustavo P.; Martinez, Jose J.; Luque, Rafael</t>
  </si>
  <si>
    <t>B-Containing Hydrotalcites Effectively Catalyzed Synthesis of 3-(Furan-2-yl)acrylonitrile Derivatives via the Knoevenagel Condensation</t>
  </si>
  <si>
    <t>ACS SUSTAINABLE CHEMISTRY &amp; ENGINEERING</t>
  </si>
  <si>
    <t>HMF; active methylene; boric acid; hydrotalcite; solvent free</t>
  </si>
  <si>
    <t>ACID; ADSORPTION; CONVERSION; GLUCOSE; FRAMEWORK; BIOMASS; MATRIX; LEWIS; CO2</t>
  </si>
  <si>
    <t>5-Hydroxymethylfurfural (HMF) is a well-known platform chemical derivative from biomass. Herein, we described the application of boric acid deposited on hydrotalcite as a catalyst in the Knoevenagel reaction of HMF derivatives and active methylene compounds to afford new HMF derivatives containing an acrylonitrile moiety under solvent-free conditions. The boric acid incorporation method on hydrotalcite conditioned the yields obtained because the aluminum substitution by boron atoms can modify the acidity of these solids. The Knoevenagel adduct structure (3a) was studied and confirmed by X-ray crystallography. This protocol synthesis features operational simplicity, short reaction times, high yields, good to excellent (E)-isomer selectivity, and low catalyst loading. Remarkably, the catalyst could be simply recovered and reused up to five cycles without appreciable loss of catalytic activity.</t>
  </si>
  <si>
    <t>[Mancipe, Sonia; Castillo, Juan-Carlos; Lopez, Viviana P.; Rojas, Hugo; Martinez, Jose J.] Univ Pedag &amp; Tecnol Colombia, Escuela Ciencias Quim, Grp Catalisis, Tunja 150003, Colombia; [Brijaldo, Maria H.] Univ Pedag &amp; Tecnol Colombia, Escuela Ciencias Adm &amp; Econ, Grp Invest Farm &amp; Medio Ambiente FARQUIMA, Tunja 150003, Colombia; [Macias, Mario A.] Univ Andes, Dept Chem, Crystallog &amp; Chem Mat, Bogota 111711, Colombia; [Portilla, Jaime] Univ Andes, Dept Chem, Bioorgan Cpds Res Grp, Bogota 111711, Colombia; [Romanelli, Gustavo P.] Univ Nacl La Plata, Ctr Invest &amp; Desarrollo Ciencias Aplicadas Dr Jor, B1900AJK, La Plata, Argentina; [Romanelli, Gustavo P.] Univ Nacl La Plata, Ctr Invest Sanidad Vegetal CISaV, Catedra Quim Organ, Fac Ciencias Agr &amp; Forestales, B1904AAN, La Plata, Argentina; [Luque, Rafael] Univ Cordoba, Dept Quim Organ, Grp FQM 383, Campus Univ Rabanales, E-14014 Cordoba, Spain; [Luque, Rafael] Peoples Friendship Univ Russia, RUDN Univ, Moscow 117198, Russia</t>
  </si>
  <si>
    <t>Universidad Pedagogica y Tecnologica de Colombia (UPTC); Universidad Pedagogica y Tecnologica de Colombia (UPTC); Universidad de los Andes (Colombia); Universidad de los Andes (Colombia); National University of La Plata; National University of La Plata; Universidad de Cordoba; Peoples Friendship University of Russia</t>
  </si>
  <si>
    <t>Mancipe, S (corresponding author), Univ Pedag &amp; Tecnol Colombia, Escuela Ciencias Quim, Grp Catalisis, Tunja 150003, Colombia.;Luque, R (corresponding author), Univ Cordoba, Dept Quim Organ, Grp FQM 383, Campus Univ Rabanales, E-14014 Cordoba, Spain.;Luque, R (corresponding author), Peoples Friendship Univ Russia, RUDN Univ, Moscow 117198, Russia.</t>
  </si>
  <si>
    <t>sonia.mancipe@uptc.edu.co; rafael.luque@uco.es</t>
  </si>
  <si>
    <t>Millán, Juan Castillo/AAM-5433-2020; Macías, Mario Alberto/W-9716-2019; Martínez, José/G-1924-2018; Luque, Rafael/F-9853-2010</t>
  </si>
  <si>
    <t>Millán, Juan Castillo/0000-0002-6060-2578; Macías, Mario Alberto/0000-0003-2749-8489; Martínez, José/0000-0002-4906-7121; Luque, Rafael/0000-0003-4190-1916</t>
  </si>
  <si>
    <t>Universidad Pedagogica y Tecnologica de Colombia; Universidad de los Andes; Vicerrectoria de Investigaciones-UPTC; Departamento de Quimica and Facultad de Ciencias at the Universidad de los Andes, Colombia [FAPA-P18.160422.043, INV-2019-84-1800]; CONICET [PIP 0111]; Agencia Nacional de Promocion Cientifica y Tecnica ANPCyT [0157]; UNLP; RUDN University Strategic Academic Leadership Program</t>
  </si>
  <si>
    <t>Universidad Pedagogica y Tecnologica de Colombia; Universidad de los Andes; Vicerrectoria de Investigaciones-UPTC; Departamento de Quimica and Facultad de Ciencias at the Universidad de los Andes, Colombia; CONICET(Consejo Nacional de Investigaciones Cientificas y Tecnicas (CONICET)); Agencia Nacional de Promocion Cientifica y Tecnica ANPCyT(ANPCyT); UNLP(National University of La Plata); RUDN University Strategic Academic Leadership Program</t>
  </si>
  <si>
    <t>The authors acknowledge the Universidad Pedagogica y Tecnologica de Colombia and Universidad de los Andes for the financial support. J.J.M. thanks the Vicerrectoria de Investigaciones-UPTC for the financial support. M.A.M. and J.P. thank the support of the Departamento de Quimica and Facultad de Ciencias at the Universidad de los Andes, Colombia (projects FAPA-P18.160422.043 and INV-2019-84-1800, respectively) . Moreover, G.R. is grateful to CONICET (PIP 0111) , Agencia Nacional de Promocion Cientifica y Tecnica ANPCyT (0157) , and UNLP. This publication was also supported by the RUDN University Strategic Academic Leadership Program (R.L.) .</t>
  </si>
  <si>
    <t>An JH, 2019, ACS SUSTAIN CHEM ENG, V7, P6696, DOI 10.1021/acssuschemeng.8b05916; Ay AN, 2011, APPL CLAY SCI, V51, P308, DOI 10.1016/j.clay.2010.12.015; Bechara R, 2002, CATAL LETT, V82, P59, DOI 10.1023/A:1020535923499; Bender MT, 2022, CHEMSUSCHEM, V15, DOI 10.1002/cssc.202200675; BHATTACHARYYA A, 1992, INORG CHEM, V31, P3869, DOI 10.1021/ic00044a036; Bhojaraj, 2019, Applied Clay Science, V174, P86, DOI 10.1016/j.clay.2019.03.028; Brazovskaya EY, 2017, GLASS PHYS CHEM+, V43, P357, DOI 10.1134/S1087659617040046; Candu N, 2019, CATAL TODAY, V325, P109, DOI 10.1016/j.cattod.2018.08.004; Carriazo D, 2006, EUR J INORG CHEM, P4608, DOI 10.1002/ejic.200600580; Cavani F, 1991, CATAL TODAY, V11, P173, DOI 10.1016/0920-5861(91)80068-K; Cherubini F, 2010, ENERG CONVERS MANAGE, V51, P1412, DOI 10.1016/j.enconman.2010.01.015; del Arco M, 2000, J SOLID STATE CHEM, V151, P272, DOI 10.1006/jssc.2000.8653; Deng L, 2016, J ALLOY COMPD, V688, P101, DOI 10.1016/j.jallcom.2016.06.227; Du H, 2010, CHEM MATER, V22, P3519, DOI 10.1021/cm100703e; Esteves LM, 2020, FUEL, V270, DOI 10.1016/j.fuel.2020.117524; Giraud F, 2021, CATAL TODAY, V373, P69, DOI 10.1016/j.cattod.2020.08.015; Hernandez WY, 2017, GREEN CHEM, V19, P5269, DOI 10.1039/c7gc02795h; Hu K, 2019, ANAL CHEM, V91, P6353, DOI 10.1021/acs.analchem.9b01376; Ilangovan A, 2011, J KOREAN CHEM SOC, V55, P1000, DOI 10.5012/jkcs.2011.55.6.1000; Intharapat P, 2016, POLYM DEGRAD STABIL, V128, P217, DOI 10.1016/j.polymdegradstab.2016.03.004; Kloprogge JT, 2002, AM MINERAL, V87, P623; Kock EM, 2013, J PHYS CHEM C, V117, P17666, DOI 10.1021/jp405625x; Li LS, 1996, CHEM MATER, V8, P204, DOI 10.1021/cm950319w; Mancipe S, 2016, APPL CLAY SCI, V129, P71, DOI 10.1016/j.clay.2016.05.005; Marianou AA, 2018, APPL CATAL A-GEN, V555, P75, DOI 10.1016/j.apcata.2018.01.029; Martinez JJ, 2020, ASIAN J ORG CHEM, V9, P2184, DOI 10.1002/ajoc.202000406; Martinez JJ, 2017, CATAL LETT, V147, P1765, DOI 10.1007/s10562-017-2064-y; Paez A, 2017, CHEMCATCHEM, V9, P3322, DOI 10.1002/cctc.201700457; Cuervo OHP, 2020, CHEMISTRYSELECT, V5, P4186, DOI 10.1002/slct.202000657; Portilla-Zuniga OM, 2018, SUSTAIN CHEM PHARM, V10, P50, DOI 10.1016/j.scp.2018.09.002; Ramesh S, 2018, CHEMCATCHEM, V10, P1398, DOI 10.1002/cctc.201701726; Rani P, 2019, J COLLOID INTERF SCI, V557, P144, DOI 10.1016/j.jcis.2019.09.008; Rodriguez-Gonzalez L, 2007, APPL CATAL A-GEN, V328, P174, DOI 10.1016/j.apcata.2007.06.003; Sasaki K, 2018, J HAZARD MATER, V344, P90, DOI 10.1016/j.jhazmat.2017.10.003; Serrano-Sterling C, 2021, J MOL STRUCT, V1244, DOI 10.1016/j.molstruc.2021.130944; Sheldrick GM, 2015, ACTA CRYSTALLOGR C, V71, P3, DOI [10.1107/S0108767307043930, 10.1107/S2053229614024218]; Sinhamahapatra A, 2013, CHEMCATCHEM, V5, P331, DOI 10.1002/cctc.201200440; Sun SY, 2020, J TAIWAN INST CHEM E, V108, P102, DOI 10.1016/j.jtice.2020.01.002; Tigreros A, 2020, TALANTA, V215, DOI 10.1016/j.talanta.2020.120905; Valente JS, 2010, J PHYS CHEM C, V114, P2089, DOI 10.1021/jp910538r; Walia M, 2014, RSC ADV, V4, P14414, DOI 10.1039/c4ra01771d; Wu XL, 2013, WATER RES, V47, P4159, DOI 10.1016/j.watres.2012.11.056; Yang WY, 2022, CHEM ENG J, V442, DOI 10.1016/j.cej.2022.136110; Zhang DH, 2017, J POLYM SCI POL CHEM, V55, P1478, DOI 10.1002/pola.28527; Zhang FR, 2012, POWDER TECHNOL, V228, P250, DOI 10.1016/j.powtec.2012.05.026; Zhang J, 2018, ACS OMEGA, V3, P6206, DOI 10.1021/acsomega.8b00138; Zhang WZ, 2022, CHEMSUSCHEM, V15, DOI 10.1002/cssc.202102158; Zhang YL, 2020, MICROPOR MESOPOR MAT, V305, DOI 10.1016/j.micromeso.2020.110328</t>
  </si>
  <si>
    <t>AMER CHEMICAL SOC</t>
  </si>
  <si>
    <t>WASHINGTON</t>
  </si>
  <si>
    <t>1155 16TH ST, NW, WASHINGTON, DC 20036 USA</t>
  </si>
  <si>
    <t>2168-0485</t>
  </si>
  <si>
    <t>ACS SUSTAIN CHEM ENG</t>
  </si>
  <si>
    <t>ACS Sustain. Chem. Eng.</t>
  </si>
  <si>
    <t>2022 SEP 9</t>
  </si>
  <si>
    <t>10.1021/acssuschemeng.2c03209</t>
  </si>
  <si>
    <t>Chemistry, Multidisciplinary; Green &amp; Sustainable Science &amp; Technology; Engineering, Chemical</t>
  </si>
  <si>
    <t>Chemistry; Science &amp; Technology - Other Topics; Engineering</t>
  </si>
  <si>
    <t>4N9VM</t>
  </si>
  <si>
    <t>WOS:000854359500001</t>
  </si>
  <si>
    <t>Roy, S; Maiti, SK; Perez, LM; Silva, JHO; Laroze, D</t>
  </si>
  <si>
    <t>Roy, Souvik; Maiti, Santanu K.; Perez, Laura M.; Silva, Judith Helena Ojeda; Laroze, David</t>
  </si>
  <si>
    <t>Localization Properties of a Quasiperiodic Ladder under Physical Gain and Loss: Tuning of Critical Points, Mixed-Phase Zone and Mobility Edge</t>
  </si>
  <si>
    <t>MATERIALS</t>
  </si>
  <si>
    <t>localization phenomena; AAH ladder; physical gain and loss; inverse participation ratio; mobility edge; mixed phase</t>
  </si>
  <si>
    <t>ANDERSON LOCALIZATION; QUANTUM; TRANSITION; DYNAMICS; WAVES; LIGHT</t>
  </si>
  <si>
    <t>We explore the localization properties of a double-stranded ladder within a tight-binding framework where the site energies of different lattice sites are distributed in the cosine form following the Aubry-Andre-Harper (AAH) model. An imaginary site energy, which can be positive or negative, referred to as physical gain or loss, is included in each of these lattice sites which makes the system a non-Hermitian (NH) one. Depending on the distribution of imaginary site energies, we obtain balanced and imbalanced NH ladders of different types, and for all these cases, we critically investigate localization phenomena. Each ladder can be decoupled into two effective one-dimensional (1D) chains which exhibit two distinct critical points of transition from metallic to insulating (MI) phase. Because of the existence of two distinct critical points, a mixed-phase (MP) zone emerges which yields the possibility of getting a mobility edge (ME). The conducting behaviors of different energy eigenstates are investigated in terms of inverse participation ratio (IPR). The critical points and thus the MP window can be selectively controlled by tuning the strength of the imaginary site energies which brings a new insight into the localization aspect. A brief discussion on phase transition considering a multi-stranded ladder was also given as a general case, to make the present communication a self-contained one. Our theoretical analysis can be utilized to investigate the localization phenomena in different kinds of simple and complex quasicrystals in the presence of physical gain and/or loss.</t>
  </si>
  <si>
    <t>[Roy, Souvik; Maiti, Santanu K.] Indian Stat Inst, Phys &amp; Appl Math Unit, 203 Barrackpore Trunk Rd, Kolkata 700108, India; [Perez, Laura M.] Univ Tarapaca, Dept Fis, FACI, Casilla 7D, Arica 1000000, Chile; [Silva, Judith Helena Ojeda] Univ Pedag &amp; Tecnol Colombia, Grp Fis Mat, Tunja 150003, Colombia; [Silva, Judith Helena Ojeda] Univ Pedag &amp; Tecnol Colombia, Lab Quim Teor &amp; Computac, Grp Invest Quim Fis Mol &amp; Modelamiento Computac Q, Tunja 150003, Colombia; [Laroze, David] Univ Tarapaca, Inst Alta Invest, CEDENNA, Casilla 7D, Arica 1000000, Chile</t>
  </si>
  <si>
    <t>Indian Statistical Institute; Indian Statistical Institute Kolkata; Universidad de Tarapaca; Universidad Pedagogica y Tecnologica de Colombia (UPTC); Universidad Pedagogica y Tecnologica de Colombia (UPTC); Universidad de Tarapaca</t>
  </si>
  <si>
    <t>Maiti, SK (corresponding author), Indian Stat Inst, Phys &amp; Appl Math Unit, 203 Barrackpore Trunk Rd, Kolkata 700108, India.</t>
  </si>
  <si>
    <t>souvikroy138@gmail.com; santanu.maiti@isical.ac.in; lperez@uta.cl; judith.ojeda@uptc.edu.co; dlarozen@uta.cl</t>
  </si>
  <si>
    <t>Pérez, Laura M/AAZ-1995-2020; Laroze, David/Z-2852-2019</t>
  </si>
  <si>
    <t>Pérez, Laura M/0000-0002-2915-309X; Laroze, David/0000-0002-6487-8096; OJEDA SILVA, JUDITH HELENA/0000-0001-7004-2984; Maiti, Santanu/0000-0003-3979-8606</t>
  </si>
  <si>
    <t>CSIR, India [09/093(0178)/2017-EMR-I]; DST-SERB, Government of India [EMR/2017/000504]; ANID through Convocatoria Nacional Subvencion a Instalacion en la Academia Convocatoria Ano [SA77210040]; FONDECYT [1180905]; BASAL/ANID [AFB180001]; Centers of Excellence; Universidad Pedagogica y Tecnologica de Colombia</t>
  </si>
  <si>
    <t>CSIR, India(Council of Scientific &amp; Industrial Research (CSIR) - India); DST-SERB, Government of India; ANID through Convocatoria Nacional Subvencion a Instalacion en la Academia Convocatoria Ano; FONDECYT(Comision Nacional de Investigacion Cientifica y Tecnologica (CONICYT)CONICYT FONDECYT); BASAL/ANID; Centers of Excellence; Universidad Pedagogica y Tecnologica de Colombia</t>
  </si>
  <si>
    <t>S.R. would like to thank CSIR, India (09/093(0178)/2017-EMR-I), for providing their research fellowship. The research of S.K.M. is supported by DST-SERB, Government of India (Project File Number: EMR/2017/000504). L.M.P. acknowledges financial support from ANID through Convocatoria Nacional Subvencion a Instalacion en la Academia Convocatoria Ano 2021, Grant SA77210040. D.L. acknowledges partial financial support from FONDECYT 1180905. D.L. also acknowledges partial financial support from Centers of Excellence with BASAL/ANID financing Grant AFB180001, CEDENNA. J.H.O.S. acknowledges to Universidad Pedagogica y Tecnologica de Colombia.</t>
  </si>
  <si>
    <t>Amir A, 2016, PHYS REV E, V93, DOI 10.1103/PhysRevE.93.042310; Amir A, 2008, PHYS REV A, V77, DOI 10.1103/PhysRevA.77.050101; An FA, 2021, PHYS REV LETT, V126, DOI 10.1103/PhysRevLett.126.040603; ANDERSON PW, 1958, PHYS REV, V109, P1492, DOI 10.1103/PhysRev.109.1492; Aubry S., 1980, Annals of the Israel Physical Society, V3, P133; Banerjee M, 2019, PHYSICA E, V106, P312, DOI 10.1016/j.physe.2018.08.011; Bender CM, 2007, REP PROG PHYS, V70, P947, DOI 10.1088/0034-4885/70/6/R03; Bender CM, 2013, AM J PHYS, V81, P173, DOI 10.1119/1.4789549; Bender CM, 1998, PHYS REV LETT, V80, P5243, DOI 10.1103/PhysRevLett.80.5243; Bender CM, 1999, J MATH PHYS, V40, P2201, DOI 10.1063/1.532860; Bendix O, 2010, J PHYS A-MATH THEOR, V43, DOI 10.1088/1751-8113/43/26/265305; Bendix O, 2009, PHYS REV LETT, V103, DOI 10.1103/PhysRevLett.103.030402; Biddle J, 2010, PHYS REV LETT, V104, DOI 10.1103/PhysRevLett.104.070601; Biddle J, 2009, PHYS REV A, V80, DOI 10.1103/PhysRevA.80.021603; Billy J, 2008, NATURE, V453, P891, DOI 10.1038/nature07000; Burke PC, 2020, PHYS REV A, V102, DOI 10.1103/PhysRevA.102.012212; Carmele A, 2015, PHYS REV B, V92, DOI 10.1103/PhysRevB.92.195107; Chong YD, 2011, PHYS REV LETT, V106, DOI 10.1103/PhysRevLett.106.093902; Dey M, 2022, J PHYS D APPL PHYS, V55, DOI 10.1088/1361-6463/ac360d; Dey S, 2020, EPL-EUROPHYS LETT, V129, DOI 10.1209/0295-5075/129/47002; Dittes FM, 2000, PHYS REP, V339, P216; Feng L, 2011, SCIENCE, V333, P729, DOI 10.1126/science.1206038; Ganeshan S, 2015, PHYS REV LETT, V114, DOI 10.1103/PhysRevLett.114.146601; Ganeshan S, 2013, PHYS REV LETT, V110, DOI 10.1103/PhysRevLett.110.180403; Graefe EM, 2008, PHYS REV LETT, V101, DOI 10.1103/PhysRevLett.101.150408; Guo A, 2009, PHYS REV LETT, V103, DOI 10.1103/PhysRevLett.103.093902; HARPER PG, 1955, P PHYS SOC LOND A, V68, P879, DOI 10.1088/0370-1298/68/10/305; Hatano N, 1996, PHYS REV LETT, V77, P570, DOI 10.1103/PhysRevLett.77.570; Hatano N, 1997, PHYS REV B, V56, P8651, DOI 10.1103/PhysRevB.56.8651; Hofmann T, 2020, PHYS REV RES, V2, DOI 10.1103/PhysRevResearch.2.023265; Jovic DM, 2012, OPT LETT, V37, P4455, DOI 10.1364/OL.37.004455; Klaiman S, 2008, PHYS REV LETT, V101, DOI 10.1103/PhysRevLett.101.080402; Koley A, 2021, MICROMACHINES-BASEL, V12, DOI 10.3390/mi12091021; Koley A, 2021, APPL SCI-BASEL, V11, DOI 10.3390/app11052309; LEE PA, 1985, REV MOD PHYS, V57, P287, DOI 10.1103/RevModPhys.57.287; Levi E, 2016, PHYS REV LETT, V116, DOI 10.1103/PhysRevLett.116.237203; Luo XB, 2013, PHYS REV LETT, V110, DOI 10.1103/PhysRevLett.110.243902; Maiti SK, 2017, ANN PHYS-NEW YORK, V382, P150, DOI 10.1016/j.aop.2017.05.008; Maiti SK, 2013, PHYS LETT A, V377, P1205, DOI 10.1016/j.physleta.2013.03.013; Mal B, 2020, PHYS LETT A, V384, DOI 10.1016/j.physleta.2020.126378; Marinello G, 2016, J PHYS CONF SER, V738, DOI 10.1088/1742-6596/738/1/012040; Mejia-Cortes C, 2015, PHYS REV A, V91, DOI 10.1103/PhysRevA.91.033815; Nandkishore R, 2015, ANNU REV CONDEN MA P, V6, P15, DOI 10.1146/annurev-conmatphys-031214-014726; Oberthaler MK, 1996, PHYS REV LETT, V77, P4980, DOI 10.1103/PhysRevLett.77.4980; Patra M, 2019, J MAGN MAGN MATER, V484, P408, DOI 10.1016/j.jmmm.2019.04.057; Patra M, 2019, J PHYS-CONDENS MAT, V31, DOI 10.1088/1361-648X/ab2294; Patra M, 2017, SCI REP-UK, V7, DOI 10.1038/s41598-017-14499-2; Ramezani H, 2010, PHYS REV A, V82, DOI 10.1103/PhysRevA.82.043803; Regensburger A, 2012, NATURE, V488, P167, DOI 10.1038/nature11298; Roati G, 2008, NATURE, V453, P895, DOI 10.1038/nature07071; Rossignolo M, 2019, PHYS REV B, V99, DOI 10.1103/PhysRevB.99.054211; ROTTER I, 1991, REP PROG PHYS, V54, P635, DOI 10.1088/0034-4885/54/4/003; Roy S, 2019, EUR PHYS J B, V92, DOI 10.1140/epjb/e2019-100458-5; Ruter CE, 2010, NAT PHYS, V6, P192, DOI 10.1038/NPHYS1515; Saha S, 2016, PHYSICA E, V83, P358, DOI 10.1016/j.physe.2016.04.003; Sarkar S, 2020, J PHYS-CONDENS MAT, V32, DOI 10.1088/1361-648X/abb05f; Schindler J, 2011, PHYS REV A, V84, DOI 10.1103/PhysRevA.84.040101; Sil S, 2008, PHYS REV LETT, V101, DOI 10.1103/PhysRevLett.101.076803; SOKOLOV VV, 1988, PHYS LETT B, V202, P10, DOI 10.1016/0370-2693(88)90844-1; SOKOLOV VV, 1992, ANN PHYS-NEW YORK, V216, P323, DOI 10.1016/0003-4916(92)90180-T; SOKOLOV VV, 1989, NUCL PHYS A, V504, P562, DOI 10.1016/0375-9474(89)90558-7; Sukhorukov AA, 2010, PHYS REV A, V82, DOI 10.1103/PhysRevA.82.043818; Thouless D. J., 1974, PHYS REP           C, V13, P93, DOI DOI 10.1016/0370-1573(74)90029-5; Tong L, 2021, PHYS REV B, V103, DOI 10.1103/PhysRevB.103.104203; Vosk R, 2015, PHYS REV X, V5, DOI 10.1103/PhysRevX.5.031032; WEGNER F, 1980, Z PHYS B CON MAT, V36, P209, DOI 10.1007/BF01325284; West CT, 2010, PHYS REV LETT, V104, DOI 10.1103/PhysRevLett.104.054102; Yahyavi M, 2019, PHYS REV B, V100, DOI 10.1103/PhysRevB.100.064202; Zeng QB, 2020, PHYS REV B, V101, DOI 10.1103/PhysRevB.101.020201; Zeng QB, 2017, PHYS REV A, V95, DOI 10.1103/PhysRevA.95.062118</t>
  </si>
  <si>
    <t>1996-1944</t>
  </si>
  <si>
    <t>Materials</t>
  </si>
  <si>
    <t>10.3390/ma15020597</t>
  </si>
  <si>
    <t>Chemistry, Physical; Materials Science, Multidisciplinary; Metallurgy &amp; Metallurgical Engineering; Physics, Applied; Physics, Condensed Matter</t>
  </si>
  <si>
    <t>Chemistry; Materials Science; Metallurgy &amp; Metallurgical Engineering; Physics</t>
  </si>
  <si>
    <t>ZE3IC</t>
  </si>
  <si>
    <t>WOS:000758779400001</t>
  </si>
  <si>
    <t>Salinas-Torres, A; Jimenez, E; Becerra, D; Martinez, JJ; Rojas, H; Castillo, JC; Macias, MA</t>
  </si>
  <si>
    <t>Salinas-Torres, Angelica; Jimenez, Elizabeth; Becerra, Diana; Martinez, Jose J.; Rojas, Hugo; Castillo, Juan-Carlos; Macias, Mario A.</t>
  </si>
  <si>
    <t>Synthesis, anticancer evaluation, thermal and X-ray crystallographic analysis of 2-oxo-2H-chromen-7-yl 4-chlorobenzoate using a conductively heated sealed-vessel reactor</t>
  </si>
  <si>
    <t>7-Hydroxy-2 H-chromen-2-one; O-acylation reaction; Cancer; Monowave 50 reactor; Hirshfeld surface maps; X-ray crystallography; Sohncke space group</t>
  </si>
  <si>
    <t>CHEMICAL-SYNTHESIS; CRYSTAL-STRUCTURE; COUMARIN; DERIVATIVES; CARCINOMA; ESTERIFICATION; CIMETIDINE</t>
  </si>
  <si>
    <t>We report the synthesis of the 2-oxo-2H-chromen-7-yl 4-chlorobenzoate 3 in 94% yield by an O-acylation reaction of 7-hydroxy-2H-chromen-2-one 1 and 4-chlorobenzoyl chloride 2 using a slight excess of tri-ethylamine in acetonitrile, heating as fast as possible (AFAP mode) to 60 degrees C, hold time 5 min, and 600 rpm stirring speed in the Monowave 50 reactor based on conventional heating principles. The struc-ture of the 2-oxo-2H-chromen-7-yl 4-chlorobenzoate 3 was fully characterized by FT-IR, UV-vis, NMR spectroscopy, mass spectrometry (EI-MS), elemental analysis, thermogravimetry (TG), differential scan-ning calorimetry (DSC), single-crystal and powder X-ray diffraction. X-Ray diffraction analyses show that compound 3 crystallizes in the Monoclinic, P 2 1 space group. Despite the absence of chiral atoms, the structural restrains imposed by the molecular conformation drive these compounds to crystallize in a Sohncke space group. These results are of great importance in crystal engineering and non-linear optics. In the crystal structure, the packing is controlled mainly by C -H middotmiddotmiddotO hydrogen bonds. However, Hirsh-feld surfaces demonstrated that C -H middotmiddotmiddotCl interactions are of great importance. Additionally, electrostatic potentials suggest the formation of Sigma-holes over the Cl atoms, allowing this atom to behave as a Lewis acid-base. The packing is studied in terms of B3LYP/6-31G(d,p) energy frameworks. Finally, compound 3 showed low activity against MCF7 Breast, SNB-19 Central nervous system, and UO-31 Renal cancer cell lines with a growth inhibition percentage (GI%) ranging from 5.98% to 13.33%. (c) 2022 Elsevier B.V. All rights reserved.</t>
  </si>
  <si>
    <t>[Salinas-Torres, Angelica; Becerra, Diana; Martinez, Jose J.; Rojas, Hugo; Castillo, Juan-Carlos] Univ Pedag &amp; Tecnol Colombia, Escuela Ciencias Quim, Ave Cent Norte 39-115, Tunja 150003, Colombia; [Jimenez, Elizabeth] Univ Los Andes, Dept Chem, GIBA, Appl Biochem Res Grp, Carrera 1 18A-10, Bogota 111711, Colombia; [Macias, Mario A.] Univ Los Andes, Dept Chem, CrisQuimMat, Crystallog &amp; Chem Mat, Carrera 1 18A-10, Bogota 111711, Colombia</t>
  </si>
  <si>
    <t>Universidad Pedagogica y Tecnologica de Colombia (UPTC); Universidad de los Andes (Colombia); Universidad de los Andes (Colombia)</t>
  </si>
  <si>
    <t>Castillo, JC (corresponding author), Univ Pedag &amp; Tecnol Colombia, Escuela Ciencias Quim, Ave Cent Norte 39-115, Tunja 150003, Colombia.;Macias, MA (corresponding author), Univ Los Andes, Dept Chem, CrisQuimMat, Crystallog &amp; Chem Mat, Carrera 1 18A-10, Bogota 111711, Colombia.</t>
  </si>
  <si>
    <t>Macías, Mario Alberto/W-9716-2019; Millán, Juan Castillo/AAM-5433-2020</t>
  </si>
  <si>
    <t>Macías, Mario Alberto/0000-0003-2749-8489; Millán, Juan Castillo/0000-0002-6060-2578; Becerra, Diana/0000-0001-5805-7454</t>
  </si>
  <si>
    <t>Universidad Pedagogica y Tecnologica de Colombia; Universidad de los Andes; Facultad de Ciencias at the Universidad de los Andes, Colombia [FAPA-P18.160422.043]; Direccin de Investigaciones at Universidad Pedaggica y Tecnolgica de Colombia [SGI-3312]; Departamento de Qumica [FAPA-P17160322012]</t>
  </si>
  <si>
    <t>Universidad Pedagogica y Tecnologica de Colombia; Universidad de los Andes; Facultad de Ciencias at the Universidad de los Andes, Colombia; Direccin de Investigaciones at Universidad Pedaggica y Tecnolgica de Colombia; Departamento de Qumica</t>
  </si>
  <si>
    <t>The authors are grateful for financial support from Universidad Pedagogica y Tecnologica de Colombia and Universidad de los Andes. E.J. and M.A.M. acknowledge support from the Departamento de Qumica and Facultad de Ciencias at the Universidad de los Andes, Colombia, (project numbers FAPA-P17160322012 , and FAPA-P18.160422.043 , respectively) . A.S.-T., D.B., J.J.M., H.R. and J.-C.C. thank to the Direccin de Investigaciones at the Universidad Pedaggica y Tecnolgica de Colombia for financial support (project number SGI-3312) . We are grateful to the National Cancer Institute (NCI, USA) for performing the anticancer evaluation of the compound 3 . The authors thank to Anton Paar Colombia S.A.S. for loaning the reactor Monowave 50 (Anton Paar GmbH) for two weeks to carry out short research projects in our laboratory.</t>
  </si>
  <si>
    <t>Akkol EK, 2020, CANCERS, V12, DOI 10.3390/cancers12071959; Al-Warhi T, 2020, BIOORG CHEM, V103, DOI 10.1016/j.bioorg.2020.104163; anton-paar, DETAILS MONOWAVE 50; Becerra D, 2022, MOLECULES, V27, DOI 10.3390/molecules27154723; Becerra D, 2021, MOLBANK, V2021, DOI 10.3390/M1279; Cao DX, 2019, CHEM REV, V119, P10403, DOI 10.1021/acs.chemrev.9b00145; Castillo JC, 2022, J MOL STRUCT, V1268, DOI 10.1016/j.molstruc.2022.133713; Castillo JC, 2018, TETRAHEDRON, V74, P932, DOI 10.1016/j.tet.2017.12.049; Celikezen FC, 2020, J MOL STRUCT, V1205, DOI 10.1016/j.molstruc.2019.127577; Champelovier P, 2014, ANTI-CANCER AGENT ME, V14, P862, DOI 10.2174/1871520614666140223190829; CILENTO G, 1953, J AM CHEM SOC, V75, P3748, DOI 10.1021/ja01111a041; Cui J, 2012, J PESTIC SCI, V37, P95, DOI 10.1584/jpestics.G11-47; DEXEUS FH, 1990, J CLIN ONCOL, V8, P325, DOI 10.1200/JCO.1990.8.2.325; Di Stasi LC, 2021, MOLECULES, V26, DOI 10.3390/molecules26020422; Emami S, 2015, EUR J MED CHEM, V102, P611, DOI 10.1016/j.ejmech.2015.08.033; FASCO MJ, 1982, J BIOL CHEM, V257, P1210; Finn GJ, 2002, CANCER LETT, V183, P61, DOI 10.1016/S0304-3835(02)00102-7; Flatman RH, 2006, ANTIMICROB AGENTS CH, V50, P1136, DOI 10.1128/AAC.50.4.1136-1142.2006; Grover J, 2015, RSC ADV, V5, P38892, DOI 10.1039/c5ra05643h; Gulati S, 2021, RSC ADV, V11, P29130, DOI 10.1039/d1ra04887b; Hassan MZ, 2016, EUR J MED CHEM, V123, P236, DOI 10.1016/j.ejmech.2016.07.056; Homocianu M, 2011, SPECTROCHIM ACTA A, V82, P355, DOI 10.1016/j.saa.2011.07.061; Insuasty B, 2013, EUR J MED CHEM, V67, P252, DOI 10.1016/j.ejmech.2013.06.049; Jayatilaka D, 2005, TONTO SYSTEM COMPUTA; Jimenez E, 2012, PLOS ONE, V7, DOI 10.1371/journal.pone.0046222; Kandil S, 2016, BIOORG MED CHEM LETT, V26, P2000, DOI 10.1016/j.bmcl.2016.02.088; Khan Z, 2021, J IND ENG CHEM, V103, P80, DOI 10.1016/j.jiec.2021.07.018; KOKRON O, 1991, ONCOLOGY, V48, P102; Lei L, 2015, SCI REP-UK, V5, DOI 10.1038/srep13544; Loncaric M, 2020, BIOMOLECULES, V10, DOI 10.3390/biom10010151; Loprinzi CL, 1999, NEW ENGL J MED, V340, P346, DOI 10.1056/NEJM199902043400503; Mackenzie CF, 2017, IUCRJ, V4, P575, DOI 10.1107/S205225251700848X; Macrae CF, 2008, J APPL CRYSTALLOGR, V41, P466, DOI 10.1107/S0021889807067908; Majhi S, 2021, CHEMISTRYSELECT, V6, P4178, DOI 10.1002/slct.202100206; Medina FG, 2015, NAT PROD REP, V32, P1472, DOI 10.1039/c4np00162a; Meleddu R, 2021, J ENZYM INHIB MED CH, V36, P685, DOI 10.1080/14756366.2021.1887171; MYASNIKOVA RM, 1973, KRISTALLOGRAFIYA+, V18, P720; Obermayer D, 2016, J ORG CHEM, V81, P11788, DOI 10.1021/acs.joc.6b02242; Orhan IE, 2019, BIOORG CHEM, V84, P355, DOI 10.1016/j.bioorg.2018.11.044; Palatinus L, 2007, J APPL CRYSTALLOGR, V40, P786, DOI 10.1107/S0021889807029238; Parsons S, 2013, ACTA CRYSTALLOGR B, V69, P249, DOI 10.1107/S2052519213010014; Perkin W.H., 1868, J CHEM SOC, V21, P53, DOI [10.1039/js8682100053, DOI 10.1039/JS8682100053]; Petricek V, 2014, Z KRIST-CRYST MATER, V229, P345, DOI 10.1515/zkri-2014-1737; Pidcock E, 2005, CHEM COMMUN, P3457, DOI 10.1039/b505236j; Saeed A, 2018, SPECTROCHIM ACTA A, V198, P290, DOI 10.1016/j.saa.2018.03.036; Saeed A, 2016, J MOL STRUCT, V1111, P76, DOI 10.1016/j.molstruc.2016.01.074; Samundeeswari S, 2017, J FLUORESC, V27, P1247, DOI 10.1007/s10895-017-2052-z; Sarmah M, 2021, ORG BIOMOL CHEM, V20, P55, DOI 10.1039/d1ob01876k; Seoane-Rivero R, 2020, MOLECULES, V25, DOI 10.3390/molecules25153497; Serrano-Sterling C, 2021, J MOL STRUCT, V1244, DOI 10.1016/j.molstruc.2021.130944; Sheldrick GM, 2015, ACTA CRYSTALLOGR C, V71, P3, DOI [10.1107/S0108767307043930, 10.1107/S2053229614024218]; Spackman MA, 2008, CRYSTENGCOMM, V10, P377, DOI 10.1039/b715227b; Spackman MA, 2009, CRYSTENGCOMM, V11, P19, DOI 10.1039/b818330a; Tsakos M, 2015, NAT PROD REP, V32, P605, DOI 10.1039/c4np00106k; Turner M. J., 2017, CRYSTALEXPLORER17; Vogel A., 1820, ANN PHYS-BERLIN, V64, P161, DOI [10.1002/andp.18200640205, DOI 10.1002/ANDP.18200640205]; Wang QQ, 2021, MOLECULES, V26, DOI 10.3390/molecules26020372; Yu SM, 2015, MOL MED REP, V12, P3869, DOI 10.3892/mmr.2015.3797; Zhang SG, 2021, J HETEROCYCLIC CHEM, V58, P450, DOI 10.1002/jhet.4180; Zou QL, 2013, J MED CHEM, V56, P5288, DOI 10.1021/jm400025g</t>
  </si>
  <si>
    <t>FEB 15</t>
  </si>
  <si>
    <t>10.1016/j.molstruc.2022.134414</t>
  </si>
  <si>
    <t>7K0RE</t>
  </si>
  <si>
    <t>WOS:000904993000010</t>
  </si>
  <si>
    <t>Becerra, ML; Lizarazo, LM; Rojas, HA; Prieto, GA; Martinez, JJ</t>
  </si>
  <si>
    <t>Becerra, Monica L.; Lizarazo, Luz M.; Rojas, Hugo A.; Prieto, Gloria A.; Martinez, Jose J.</t>
  </si>
  <si>
    <t>Biotransformation of 5-hydroxymethylfurfural and furfural with bacteria of bacillus genus</t>
  </si>
  <si>
    <t>BIOCATALYSIS AND AGRICULTURAL BIOTECHNOLOGY</t>
  </si>
  <si>
    <t>Biomass; 2-Furoic acid; HMFCA; Furans oxidation; Biodegradation; Inhibitors</t>
  </si>
  <si>
    <t>5-HYDROXYMETHYL-2-FURANCARBOXYLIC ACID; PSEUDOMONAS-PUTIDA; CO-FERMENTATION; 2-FUROIC ACID; IDENTIFICATION; TOLERANCE; OXIDATION; HMF; DETOXIFICATION; HYDROLYSATE</t>
  </si>
  <si>
    <t>Furfural and 5-hydroxymethylfurfural (5-HMF) are considered to be the most toxic compounds among fermentation inhibitors in lignocellulosic hydrolysates. These compounds raise severe problems for the bioproduction of fuels and chemicals. In this study, we describe the detoxification of furfural and 5-HMF using bacterial isolates from residues of sugarcane bagasse, identified as Bacillus pasteuri, Bacillus toyonensis, Bacillus megaterium, Bacillus cereus, Bacillus subtilis, and Bacillus spp. by 16S rDNA sequencing. Under aerobic culture conditions, 2-furoic acid and 5hydroxymethyl-2-furancarboxylic acid (HMFCA) were produced as the main degradation product in the detoxification of furfural and 5-HMF, respectively. In both cases these acids were produced in greater concentrations when bacteria were incubated in nutrient broth. B. toyonensis in nutrient broth with 20 mM of furfural after 120 h produced the highest amount of 2-furoic acid. A concentration of 15.2 mM was achieved using B. toyonensis followed by B. cereus with a concentration of 13.1 mM 2-Furoic acid production for other strains did not exceed 6.8 mM. B. toyonensis was the strain with highest degradation capacity of 5-HMF, following the oxidation pathway to obtain HMFCA and 2,5-furan dicarboxylic acid (FDCA) which rose to a final concentration of 21.3 mM and 1.5 mM, respectively, in a nutrient broth with 25 mM of 5-HMF at 120 h of fermentation. B. toyonensis is a useful strain to detoxify lignocellulosic residues and to produce furans with a high added value.</t>
  </si>
  <si>
    <t>[Becerra, Monica L.; Prieto, Gloria A.] Univ Pedag &amp; Tecnol Colombia, Fac Ciencias, Escuela Posgrad, Doctorado Ciencias Quim, Ave Cent Norte, Tunja, Boyac a, Colombia; [Lizarazo, Luz M.] Univ Pedag &amp; Tecnol Colombia, Fac Ciencias, Grp Invest Biol Ambiental, Escuela Ciencias Biol, Ave Cent Norte, Tunja, Boyac a, Colombia; [Becerra, Monica L.; Rojas, Hugo A.; Martinez, Jose J.] Univ Pedag &amp; Tecnol Colombia UPTC, Fac Ciencias, Escuela Ciencias Quim, Grp Catalisis GC UPTC, Ave Cent Norte, Tunja, Boyaca, Colombia; [Prieto, Gloria A.] Univ Pedag &amp; Tecnol Colombia UPTC, Fac Ciencias, Escuela Ciencias Quim, Grp Invest Quim &amp; Tecnol Alimentos GIQTA UPTC, Ave Cent Norte, Tunja, Boyaca, Colombia</t>
  </si>
  <si>
    <t>Universidad Pedagogica y Tecnologica de Colombia (UPTC); Universidad Pedagogica y Tecnologica de Colombia (UPTC); Universidad Pedagogica y Tecnologica de Colombia (UPTC); Universidad Pedagogica y Tecnologica de Colombia (UPTC)</t>
  </si>
  <si>
    <t>Becerra, ML (corresponding author), Tv 3 60A-41, Tunja 150003, Boyaca, Colombia.</t>
  </si>
  <si>
    <t>monica.becerra@uptc.edu.co</t>
  </si>
  <si>
    <t>Martínez, José/0000-0002-4906-7121; Becerra Jimenez, Monica Liliana/0000-0002-0275-9008</t>
  </si>
  <si>
    <t>Agamennone V, 2019, ENTOMOL EXP APPL, V167, P269, DOI 10.1111/eea.12763; Andersen RL, 2015, PLOS ONE, V10, DOI 10.1371/journal.pone.0136060; Bischoff KM, 2010, BIOTECHNOL LETT, V32, P823, DOI 10.1007/s10529-010-0222-z; Bozell JJ, 2010, GREEN CHEM, V12, P539, DOI 10.1039/b922014c; Bu CY, 2020, BIORESOURCE TECHNOL, V313, DOI 10.1016/j.biortech.2020.123705; Bukhari NA, 2015, J PURE APPL MICROBIO, V9, P1; Carro J, 2015, FEBS J, V282, P3218, DOI 10.1111/febs.13177; Cerny C, 2021, FOOD CHEM, V337, DOI 10.1016/j.foodchem.2020.128008; Chang SY, 2021, PROCESS BIOCHEM, V102, P417, DOI 10.1016/j.procbio.2021.01.027; Choi SY, 2015, J BIOTECHNOL, V193, P11, DOI 10.1016/j.jbiotec.2014.11.001; Cisse H, 2019, SCI AFR, V6, DOI 10.1016/j.sciaf.2019.e00175; Clarkson SM, 2014, BIOTECHNOL BIOFUELS, V7, DOI 10.1186/s13068-014-0165-z; Crigler J, 2020, APPL BIOCHEM BIOTECH, V190, P918, DOI 10.1007/s12010-019-03130-x; Daou Marianne, 2019, Fungal Biol Biotechnol, V6, P4, DOI 10.1186/s40694-019-0067-8; Davis SE, 2014, J MOL CATAL A-CHEM, V388, P123, DOI 10.1016/j.molcata.2013.09.013; Davis SE, 2011, CATAL TODAY, V160, P55, DOI 10.1016/j.cattod.2010.06.004; Deka Deepmoni, 2013, ISRN Biotechnol, V2013, P965310, DOI 10.5402/2013/965310; Donoso RA, 2021, COMPUT STRUCT BIOTEC, V19, P2160, DOI 10.1016/j.csbj.2021.04.017; Duhan P, 2020, S AFR J BOT, V134, P43, DOI 10.1016/j.sajb.2020.01.047; FazeliNejad S, 2013, BIORESOURCES, V8, P5524; Feldman D, 2015, BIOTECHNOL BIOFUELS, V8, DOI 10.1186/s13068-015-0244-9; Gaur R, 2015, BMC BIOTECHNOL, V15, DOI [10.1186/s12896-015-0129-9, 10.1155/2015/132635]; Gorbanev YY, 2009, CHEMSUSCHEM, V2, P672, DOI 10.1002/cssc.200900059; Guarnieri Michael T, 2017, Metab Eng Commun, V4, P22, DOI 10.1016/j.meteno.2017.02.001; Haronikova A, 2017, CHEM BIOCHEM ENG Q, V31, P527, DOI 10.15255/CABEQ.2015.2313; HARTMANS S, 1989, APPL ENVIRON MICROB, V55, P2850, DOI 10.1128/AEM.55.11.2850-2855.1989; He YC, 2018, BIORESOURCE TECHNOL, V247, P1215, DOI 10.1016/j.biortech.2017.09.071; Henson WR, 2021, METAB ENG, V68, P14, DOI 10.1016/j.ymben.2021.08.007; Hsu CT, 2020, MICROB BIOTECHNOL, V13, P1094, DOI 10.1111/1751-7915.13564; Huang CF, 2011, BIORESOURCE TECHNOL, V102, P3322, DOI 10.1016/j.biortech.2010.10.111; Igeno MI, 2019, GENES-BASEL, V10, DOI 10.3390/genes10070499; Jeffrey A., 2018, BIORESOURCE TECHNOL, V3, P154, DOI [10.1016/j.biteb.2018.07.006, DOI 10.1016/J.BITEB.2018.07.006]; Knaus T, 2018, GREEN CHEM, V20, DOI 10.1039/c8gc01381k; Koopman F, 2010, BIORESOURCE TECHNOL, V101, P6291, DOI 10.1016/j.biortech.2010.03.050; Koopman F, 2010, P NATL ACAD SCI USA, V107, P4919, DOI 10.1073/pnas.0913039107; Ladeira SA, 2015, ELECTRON J BIOTECHN, V18, P110, DOI 10.1016/j.ejbt.2014.12.008; Lalanne L, 2021, BIOTECHNOL ADV, V48, DOI 10.1016/j.biotechadv.2021.107707; Lee SA, 2016, APPL BIOCHEM BIOTECH, V178, P76, DOI 10.1007/s12010-015-1859-9; Li JW, 2021, IND CROP PROD, V161, DOI 10.1016/j.indcrop.2020.113160; Li YY, 2021, BIORESOURCE TECHNOL, V320, DOI [10.1016/j.actatropica.2020.124267, 10.1016/j.biortech.2020.124267]; Lilga MA, 2010, TOP CATAL, V53, P1264, DOI 10.1007/s11244-010-9579-4; Liu JZ, 2018, LECT NOTES ELECTR EN, V444, P329, DOI 10.1007/978-981-10-4801-2_33; Liu ZL, 2004, J IND MICROBIOL BIOT, V31, P345, DOI 10.1007/s10295-004-0148-3; Logan N.A., 2015, BERGEYS MANUAL SYSTE, P1, DOI DOI 10.1002/9781118960608.GBM00530; Lopez AC, 2019, J MICROBIOL METH, V165, DOI 10.1016/j.mimet.2019.105690; Lopez MJ, 2004, APPL MICROBIOL BIOT, V64, P125, DOI 10.1007/s00253-003-1401-9; Luna H., 1997, REV MEX CIENCIAS FAR, V28, P17; Ma Z, 2020, BIORESOURCE TECHNOL, V311, DOI 10.1016/j.biortech.2020.123474; Maes S, 2017, PLOS ONE, V12, DOI 10.1371/journal.pone.0169093; Masmoudi F, 2019, MICROBIOL RES, V229, DOI 10.1016/j.micres.2019.126331; Mitsukura K, 2004, BIOTECHNOL LETT, V26, P1643, DOI 10.1007/s10529-004-3513-4; Munoz T, 2020, BIOCHEM ENG J, V154, DOI 10.1016/j.bej.2019.107421; Nichols NN, 2008, FEMS MICROBIOL LETT, V284, P52, DOI 10.1111/j.1574-6968.2008.01196.x; Okonkwo CC, 2021, IND CROP PROD, V159, DOI 10.1016/j.indcrop.2020.113047; Palmqvist E, 2000, BIORESOURCE TECHNOL, V74, P25, DOI 10.1016/S0960-8524(99)00161-3; Pan X, 2020, REACT CHEM ENG, V5, P1397, DOI 10.1039/d0re00018c; Parpot P, 2004, ELECTROCHIM ACTA, V49, P397, DOI 10.1016/j.electacta.2003.08.021; Peng B, 2019, GREEN CHEM, V21, P5914, DOI 10.1039/c9gc02499a; Peng LL, 2013, BIORESOURCE TECHNOL, V149, P169, DOI 10.1016/j.biortech.2013.09.047; Perez HI, 2009, AFR J BIOTECHNOL, V8, P2279; Pick A, 2015, MICROB BIOTECHNOL, V8, P633, DOI 10.1111/1751-7915.12265; Ra CH, 2013, BIORESOURCE TECHNOL, V140, P421, DOI 10.1016/j.biortech.2013.04.122; Rajesh RO, 2018, INDIAN J EXP BIOL, V56, P493; Rajesh RO, 2019, BIORESOURCE TECHNOL, V284, P155, DOI 10.1016/j.biortech.2019.03.105; Ran H, 2014, BIOTECHNOL BIOFUELS, V7, DOI 10.1186/1754-6834-7-51; Rodriguez A, 2021, CATAL TODAY, V372, P220, DOI 10.1016/j.cattod.2021.01.011; Sadhu S., 2013, ADV MICROBIOL-IRVINE, V3, P280, DOI [10.4236/ aim.2013.33040, DOI 10.4236/AIM.2013.33040, 10.4236/aim.2013.33040]; Suriyamongkol P, 2007, BIOTECHNOL ADV, V25, P148, DOI 10.1016/j.biotechadv.2006.11.007; Tan HH, 2020, BIOCHEM ENG J, V161, DOI 10.1016/j.bej.2020.107657; Troiano D, 2022, BIORESOURCE TECHNOL, V344, DOI 10.1016/j.biortech.2021.126169; TRUDGILL PW, 1969, BIOCHEM J, V113, P577, DOI 10.1042/bj1130577; van der Pol E, 2016, APPL MICROBIOL BIOT, V100, P10307, DOI 10.1007/s00253-016-7725-z; van der Pol EC, 2016, BIOTECHNOL BIOFUELS, V9, DOI 10.1186/s13068-016-0646-3; Wang F, 2017, J TAIWAN INST CHEM E, V70, P1, DOI 10.1016/j.jtice.2016.10.003; Wang H, 2017, APPL MICROBIOL BIOT, V101, P8405, DOI 10.1007/s00253-017-8567-z; Wang X, 2020, ACS SUSTAIN CHEM ENG, V8, P4341, DOI 10.1021/acssuschemeng.0c00058; Wang ZW, 2020, BIORESOURCE TECHNOL, V303, DOI 10.1016/j.biortech.2020.122930; Werpy T, 2004, US DOE REPORT DOEGO, DOI [10.2172/15008859, DOI 10.2172/15008859]; Wierckx N, 2011, APPL MICROBIOL BIOT, V92, P1095, DOI 10.1007/s00253-011-3632-5; Wierckx N, 2010, MICROB BIOTECHNOL, V3, P336, DOI 10.1111/j.1751-7915.2009.00158.x; Wilson CM, 2013, BIOTECHNOL BIOFUELS, V6, DOI 10.1186/1754-6834-6-131; Wordofa GG, 2018, BIOTECHNOL BIOFUELS, V11, DOI 10.1186/s13068-018-1192-y; Yan YX, 2018, RSC ADV, V8, P26720, DOI 10.1039/c8ra05098h; Yang CF, 2018, J BIOSCI BIOENG, V125, P407, DOI 10.1016/j.jbiosc.2017.11.005; Yang CF, 2016, BIORESOURCE TECHNOL, V214, P311, DOI 10.1016/j.biortech.2016.04.122; Yang D, 2020, IND CROP PROD, V153, DOI 10.1016/j.indcrop.2020.112580; Ye LD, 2014, BIOCHEM ENG J, V83, P16, DOI 10.1016/j.bej.2013.12.005; Zhang S, 2014, J AGR FOOD CHEM, V62, P9792, DOI 10.1021/jf502623s; Zhang T, 2017, BIORESOURCE TECHNOL, V229, P204, DOI 10.1016/j.biortech.2017.01.028; Zhang Y, 2012, NEW BIOTECHNOL, V29, P345, DOI 10.1016/j.nbt.2011.09.001; Zheng D, 2015, CURR MICROBIOL, V70, P199, DOI 10.1007/s00284-014-0702-9; Zhu X, 2020, ENERG FUEL, V34, P14573, DOI 10.1021/acs.energyfuels.0c02707</t>
  </si>
  <si>
    <t>1878-8181</t>
  </si>
  <si>
    <t>BIOCATAL AGR BIOTECH</t>
  </si>
  <si>
    <t>Biocatal. Agric. Biotechnol.</t>
  </si>
  <si>
    <t>10.1016/j.bcab.2022.102281</t>
  </si>
  <si>
    <t>Biotechnology &amp; Applied Microbiology</t>
  </si>
  <si>
    <t>ZS9WH</t>
  </si>
  <si>
    <t>WOS:000768808800001</t>
  </si>
  <si>
    <t>Hernandez, OAB; Espitia, DYR; Hernandez, AAR</t>
  </si>
  <si>
    <t>Bellon Hernandez, Oscar Alexander; Riscanevo Espitia, Diana Yanith; Rodriguez Hernandez, Ariel Adolfo</t>
  </si>
  <si>
    <t>A new dynamic model of thermal degradation of polymer binary mixes submitted through pyrolysis</t>
  </si>
  <si>
    <t>polymer thermal degradation; thermogravimetric analysis; dynamic model; polymer pyrolysis simulation</t>
  </si>
  <si>
    <t>PLASTIC WASTE; POLYSTYRENE; RECOVERY; KINETICS; FUEL</t>
  </si>
  <si>
    <t>Introduction: This article is the product of the review A new dynamic model of thermal degradation of polymer binary mixes submitted through pyrolysis, developed in the University Pedagogica y Tecnologica de Colombia - UPTC-, carried out during 2020. This paper shows the validation process of a dynamic model proposed to represent the one-step thermal degradation reaction of individual components in polymer mixtures. Problem: It is complicated to model the process of thermal degradation of polymer mixtures inside pyrolysis reactors. Inside the MPW reactor, the distribution of polymeric components in the mixture is shuffled. Objective: The objective is to validate a proposed dynamic model to represent the thermal degradation of binary polymer mixtures from the thermograms of each individual component. Methodology: A comparison is made between real data provided by TGA of binary mixes of plastic and the result of simulated thermal degradation obtained using a differential equation of the model for thermal degradation of the same plastics. Results: The simulation results showed a reasonable degree of approximation with a mean square error of less than 5%. Conclusion: The results of the simulation provide a good approximation of the loss of mass of the real samples submitted to TGA tests in the entire temperature range of the process. Consequently, it is not necessary to segment the process into sub-ranges to look for parameters in each of them. Originality: The differential equation proposed as a dynamic model for the thermal degradation of a single polymer is extended to also represent the degradation of a mixture composed of two types of plastic for the first time in this paper. Limitations: The number of samples allowed for thermogravimetric analysis was limited to five due to the institutional regulations of the UPTC for research projects attached to doctoral theses.</t>
  </si>
  <si>
    <t>[Bellon Hernandez, Oscar Alexander; Riscanevo Espitia, Diana Yanith; Rodriguez Hernandez, Ariel Adolfo] Univ Pedag &amp; Tecnol Colombia UPTC, Escuela Ciencias Tecnol, Fac Estudios Distancia, Tunja, Colombia</t>
  </si>
  <si>
    <t>Hernandez, OAB (corresponding author), Univ Pedag &amp; Tecnol Colombia UPTC, Escuela Ciencias Tecnol, Fac Estudios Distancia, Tunja, Colombia.</t>
  </si>
  <si>
    <t>oscar.bellon@uptc.edu.co; diana.riscanevo01@uptc.edu.co; ariel.rodriguez@uptc.edu.co</t>
  </si>
  <si>
    <t>Rodriguez Hernandez, Ariel Adolfo/0000-0003-1906-7734; Bellon, Oscar/0000-0003-1924-6935</t>
  </si>
  <si>
    <t>Abnisa F, 2014, ENERG CONVERS MANAGE, V87, P71, DOI 10.1016/j.enconman.2014.07.007; Aguado R, 2003, CHEM ENG J, V92, P91, DOI 10.1016/S1385-8947(02)00119-5; Ahmad I, 2015, INT J GREEN ENERGY, V12, P663, DOI 10.1080/15435075.2014.880146; Barnes DKA, 2009, PHILOS T R SOC B, V364, P1985, DOI 10.1098/rstb.2008.0205; Bellon Hernandez O. A. B., 2017, REV POLITEC, V13, P53, DOI [10.33571/rpolitec.v13n25a4, DOI 10.33571/RPOLITEC.V13N25A4]; Chen D, 2015, WASTE MANAGE, V37, P116, DOI 10.1016/j.wasman.2015.01.022; GARCIA AN, 1995, THERMOCHIM ACTA, V254, P277, DOI 10.1016/0040-6031(94)02002-6; Ghorbani Z, 2013, FIRE SAFETY J, V61, P274, DOI 10.1016/j.firesaf.2013.09.007; Hujuri U, 2008, POLYM DEGRAD STABIL, V93, P1832, DOI 10.1016/j.polymdegradstab.2008.07.006; Ihms EC, 2004, J FORENSIC SCI, V49, P505; Lafia-Araga RA, 2012, J REINF PLAST COMP, V31, P215, DOI 10.1177/0731684411433913; Li J, 2015, POLYM DEGRAD STABIL, V115, P138, DOI 10.1016/j.polymdegradstab.2015.03.003; Miandad R, 2017, INT BIODETER BIODEGR, V119, P239, DOI 10.1016/j.ibiod.2016.09.017; Muhammad C, 2015, ENERG FUEL, V29, P2601, DOI 10.1021/ef502749h; Niksiar A, 2014, J ANAL APPL PYROL, V110, P66, DOI 10.1016/j.jaap.2014.08.005; Poutsma ML, 2006, POLYM DEGRAD STABIL, V91, P2979, DOI 10.1016/j.polymdegradstab.2006.08.015; Samer M., 2017, PYROLYSIS; Seymour R., 2012, APPL POLYM; Sharuddin SDA, 2017, ENERG CONVERS MANAGE, V148, P925, DOI 10.1016/j.enconman.2017.06.046; Sharuddin SDA, 2016, ENERG CONVERS MANAGE, V115, P308, DOI 10.1016/j.enconman.2016.02.037; Sohpal VK, 2011, BULL CHEM REACT ENG, V6, P31, DOI 10.9767/bcrec.6.1.816.31-38; Wong SL, 2015, RENEW SUST ENERG REV, V50, P1167, DOI 10.1016/j.rser.2015.04.063; Wu CF, 2010, FUEL, V89, P3022, DOI 10.1016/j.fuel.2010.05.032; Zheng Y, 2005, CRIT REV BIOTECHNOL, V25, P243, DOI 10.1080/07388550500346359; Zhou CB, 2014, J CLEAN PROD, V80, P80, DOI 10.1016/j.jclepro.2014.05.083</t>
  </si>
  <si>
    <t>10.16925/2357-6014.2022.01.07</t>
  </si>
  <si>
    <t>WOS:000835195900002</t>
  </si>
  <si>
    <t>Vera, MT</t>
  </si>
  <si>
    <t>Vera, Mauricio Tellez</t>
  </si>
  <si>
    <t>Modernization of the city and low-income housing in Bogota, 1920-1977</t>
  </si>
  <si>
    <t>REVISTA GEOGRAFICA VENEZOLANA</t>
  </si>
  <si>
    <t>modernization; city; housing; low-income housing</t>
  </si>
  <si>
    <t>Modernization is one of the most important concepts for understanding institutional and social dynamics of the cities. It is important to differentiate it from other associa- ted concepts. This text aims to provide an overview of the official modernizing views on the city of Bogota and housing during this period, face them with the experiences of the people who arrived to the city expelled from the countryside. Those new Bogo-ta residents are aside, they need to organize and built by themselves.</t>
  </si>
  <si>
    <t>[Vera, Mauricio Tellez] Univ Pedag &amp; Tecnol Colombia UPTC, Escuela Super Adm Publ, Estudios Postgrad Geog, Convenio Inst Geog Agustin Codazzi IGAC,Grp Invest, Bogota, Colombia</t>
  </si>
  <si>
    <t>Vera, MT (corresponding author), Univ Pedag &amp; Tecnol Colombia UPTC, Escuela Super Adm Publ, Estudios Postgrad Geog, Convenio Inst Geog Agustin Codazzi IGAC,Grp Invest, Bogota, Colombia.</t>
  </si>
  <si>
    <t>mauricio.tellez@esap.edu.co</t>
  </si>
  <si>
    <t>Almeida P., 2020, MOVIMIENTOS SOCIALES; APRILE-GNISET J, 2007, PONENCIA PRESENTADA; APRILE-GNISET J., 1978, CIUDAD COLOMBIANA SI; ARANGO C., 1986, LUCHA VIVIENDA COLOM; Arango S., 1989, HIST ARQUITECTURA CO; BECHT B., 1934, POEMA; BERMAN M., 2002, AVENTURAS MARXISTAS, VXXI; BERMAN M., 1988, TODO SOLIDO SE DESVA, VXXI; BERNAL S., 1973, MIGRACIONES INTERNAS; BOZZANO H., 2017, TERRITORIOS POSIBLES; CARDONA R., 1973, MIGRACIONES INTERNAS; CARVAJAL N., 2011, CUAD GEOGR-BOGOTA, V20, P57; CORREDOR C., 1992, LIMITES MODERNIZACIO; ESTRADA V., 2015, CUANTOS SOMOS HIST C; FERREIRA D., 2014, REBELION OFICIOS INU; GATTAI Z., 1979, ANARQUISTAS GRACAS D; GILBERT A., 1979, PROBLEMATICA URBANA, V7; GONZALEZ G. M., 2009, GESTION ASENTAMIENTO; HARDOY J., 1987, CIUDAD LEGAL CIUDAD; HARVEY D., 2008, PARIS CAPITAL MODERN; Harvey D., 2004, SOCIALIST REGISTER, V40, P63, DOI DOI 10.1215/01642472-18-1_62-1; Harvey D., 2004, CONDICION POSMODERNI; INSTITUTO DE CREDITO TERRITORIAL (ICT), 1995, MED SIGL VIV SOC COL; JANSSEN R., 1984, VIVIENDA LUCHAS POPU; LEFEBVRE Henri, 1974, PRODUCTION LESPACE; LICHILIN A. A., 1997, PLAZA MAYOR SANTA FE; LICHILIN A. A., 1998, ACONTECIMIENTO 48 CU; MANRIQUE M. X., 2016, CAZUCA INFORMAL MEJO; MOLINA H., 1979, COLOMBIA VIVIENDA SU; MUJICA E., 1984, BOGOTA NUBES; MUSSET A., 2014, RETOS HABITAT VIDA E; NARANJO M. E., 2017, THESIS DEPT CIENCIA; OVIEDO A., 2012, MEMORIA LUCHAS URBAN; PENA L. B., 2001, CUAD GEOGR-BOGOTA, VX, P201; PERALTA E., 2017, TORTURAS LAGRIMAS SA; REIG M., 1979, COLOMBIA VIVIENDA SU; SALAS P. A., 1998, POLICARPA NOCHE AMAN; SALDARRIAGA A., 2000, BOGOTA SIGLO 20 URBA; SANCHEZ L. M., 2007, SEMINARIO INT PROCES; Sanchez Steiner Lina Maria, 2008, REV VITACORA URBANO, V13, P57; TORRES A., 2014, CIUDAD HABITABLE ESP, P107; Torres A., 1993, CIUDAD SOMBRA BARRIO; Torres C., 2009, CIUDAD INFORMAL COLO; TURNER J. F., 1969, CIUDAD NUEVOS PAISES; TURNER J. F., 1966, CUADERNO SOC VENEZOL, V36, P1; VARELA J. S., 2011, HIST LOTE BARRIO POL; VERNEZ G., 1976, MIGRACIONES INTERNAS</t>
  </si>
  <si>
    <t>UNIV ANDES, INST GEOGRAFIA &amp; CONSERVACION RECURSOS NATURALES</t>
  </si>
  <si>
    <t>MERIDA</t>
  </si>
  <si>
    <t>VIA LOS CHORRAS DE MILLA, MERIDA, 5101, VENEZUELA</t>
  </si>
  <si>
    <t>1012-1617</t>
  </si>
  <si>
    <t>2244-8853</t>
  </si>
  <si>
    <t>REV GEOGR VENEZ</t>
  </si>
  <si>
    <t>Rev. Geogr. Venez.</t>
  </si>
  <si>
    <t>JUL-DEC</t>
  </si>
  <si>
    <t>Geography</t>
  </si>
  <si>
    <t>9E6XZ</t>
  </si>
  <si>
    <t>WOS:000936927400002</t>
  </si>
  <si>
    <t>Escobar, FAC; Buitrago, GP; Guio, FA</t>
  </si>
  <si>
    <t>Cerquera Escobar, Flor Angela; Perez Buitrago, Gonzalo; Alberto Guio B, Fredy</t>
  </si>
  <si>
    <t>Spatial Analysis with Weighted Kernel Groupings to Determine Risk Sectors Due to Traffic Accidents in Urban Area. Tunja Analysis, Colombia</t>
  </si>
  <si>
    <t>CUADERNOS GEOGRAFICOS</t>
  </si>
  <si>
    <t>Spatial Analysis; Exploratory Data Analysis-EDA; Concentration; weighted kernel clustering; Determination of risks due to traffic accidents</t>
  </si>
  <si>
    <t>VULNERABLE ROAD USERS; DENSITY-ESTIMATION; CRASH; PATTERN; INFORMATION; MORTALITY; HOTSPOTS; ZONES; SPOTS</t>
  </si>
  <si>
    <t>A method is presented to identify and determine groups with risk sectors due to the greater occurrence of traffic accidents in urban areas as an integral component in road safety management. The methodology was framed in Spatial Analysis with geographic statistics based on Exploratory Data Analysis (AED), Kernel Density Estimation (KDE), and the application of correlation and geoprocessing techniques. The accident data collected between 2015 and 2018 from the urban area of Tunja, Boyaca, Colombia, were the basis for the study of the distribution of events, characterization of clusters, occurrence dynamics and pattern modeling. The definition and delimitation of risks depended on the dispersion or grouping (Hotspots) found with weighted Kernel together with the socio-spatial interrelation of underlying processes due to the territorial dynamics of the sector. The results reveal patterns of events in concentration foci with different levels of risk, in which land uses of opposite characteristics coexist according to their activities through the incidence of territorial variables.</t>
  </si>
  <si>
    <t>[Cerquera Escobar, Flor Angela; Perez Buitrago, Gonzalo; Alberto Guio B, Fredy] Univ Pedag &amp; Tecnol Colombia UPTC, Traf Seguridad Vial Infraestruct Vial &amp; Geog Tran, Grp Invest GIDOT, Tunja, Colombia</t>
  </si>
  <si>
    <t>Escobar, FAC (corresponding author), Univ Pedag &amp; Tecnol Colombia UPTC, Traf Seguridad Vial Infraestruct Vial &amp; Geog Tran, Grp Invest GIDOT, Tunja, Colombia.</t>
  </si>
  <si>
    <t>flor.cerquera@uptc.edu.co</t>
  </si>
  <si>
    <t>Cerquera Escobar, Flor Angela/0000-0001-7666-8654</t>
  </si>
  <si>
    <t>AGENCIA NACIONAL DE SEGURIDAD VIAL-ANSV, 2019, SIST INF; Ahmed A, 2019, ACCIDENT ANAL PREV, V130, P3, DOI 10.1016/j.aap.2017.07.018; BID, 2015, CIUDADES INTERMEDIAS; Blazquez CA, 2013, ACCIDENT ANAL PREV, V50, P304, DOI 10.1016/j.aap.2012.05.001; Briz-Redon A, 2019, ACCIDENT ANAL PREV, V132, DOI 10.1016/j.aap.2019.105278; Cerquera-Escobar F. A., 2015, ANALISIS ESPACIAL AC, V1st; Cerquera-Escobar F.A., 2015, CARRETERAS, V202, P45; Cheng ASK, 2015, HONG KONG J OCCUP TH, V25, P32, DOI 10.1016/j.hkjot.2015.06.001; Cheng W, 2008, TRANSPORT RES REC, P76, DOI 10.3141/2083-09; Cioca LI, 2017, SUSTAINABILITY-BASEL, V9, DOI 10.3390/su9091530; Dallerba S, 2020, INT ENCY HUMAN GEOGR, VSecond, P357, DOI [10.1016/B978-0-08-102295-5.10541-4, DOI 10.1016/B978-0-08-102295-5.10541-4]; Dereli MA, 2017, TRANSPORT RES A-POL, V103, P106, DOI 10.1016/j.tra.2017.05.031; DNP, 2018, 3918 DNP COMP; Erdogan S, 2009, J SAFETY RES, V40, P341, DOI 10.1016/j.jsr.2009.07.006; Faul F, 2009, BEHAV RES METHODS, V41, P1149, DOI 10.3758/BRM.41.4.1149; Flahaut B, 2003, ACCIDENT ANAL PREV, V35, P991, DOI 10.1016/S0001-4575(02)00107-0; Gatrell AC, 1996, SOC SCI MED, V42, P843, DOI 10.1016/0277-9536(95)00183-2; Haagsma JA, 2016, INJURY PREV, V22, P3, DOI 10.1136/injuryprev-2015-041616; Hedges LV, 2010, INT ENCY ED, V1, P436, DOI DOI 10.1016/B978-0-08-044894-7.01356-7; Hillside NJ., 1988, STAT POWER ANAL BEHA, V2nd ed, DOI DOI 10.4324/9780203771587; INMLCF, 2018, FOR DAT VID; INMLCF, 2017, FOR DAT VID; INMLCF, 2016, FOR DAT VID; Johnsson C, 2018, TRANSPORT REV, V38, P765, DOI 10.1080/01441647.2018.1442888; Kar S, 2016, CLIN EPIDEMIOL GLOB, V4, P115, DOI 10.1016/j.cegh.2015.07.003; Kelley K, 2012, PSYCHOL METHODS, V17, P137, DOI 10.1037/a0028086; Kundakci E., 2014, TRB 93 ANN M C WASH, P12; Kuo PF, 2013, J TRANSP GEOGR, V30, P138, DOI 10.1016/j.jtrangeo.2013.04.006; Lassarre S, 2012, COMPUT ENVIRON URBAN, V36, P321, DOI 10.1016/j.compenvurbsys.2011.12.005; LEGENDRE P, 1989, VEGETATIO, V80, P107, DOI 10.1007/BF00048036; Lorda M.A., 2005, ANAIS X ENCONTRO GEO; Maestre F.T., 2008, INTRO ANALISIS ESPAC; Mazurek H., 2009, ESPACIO TERRITORIO I, DOI [10.4000/books.irdeditions.17840, DOI 10.4000/BOOKS.IRDEDITIONS.17840]; Mena D.V., 2018, CUAD GEOGR, V57, P261, DOI [10.30827/cuadgeo.v57i2.6043, DOI 10.30827/CUADGEO.V57I2.6043]; MINTRANSPORTE, 2012, CUAL SE AD NUEV INF; Mohaymany AS, 2013, GEO-SPAT INF SCI, V16, P113, DOI 10.1080/10095020.2013.766396; Murphy K.R., 2014, STAT POWER ANAL SIMP; Olszewski P, 2019, J SAFETY RES, V68, P49, DOI 10.1016/j.jsr.2018.12.001; Ouni F, 2018, TRANSPORT RES F-TRAF, V56, P477, DOI 10.1016/j.trf.2018.05.003; Perez-Buitrago G, 2017, REV CARRETERAS, V215, P61; Mandacaru PMP, 2017, ACCIDENT ANAL PREV, V106, P392, DOI 10.1016/j.aap.2017.06.018; POT, 2014, PLAN ORD TERR ALC TU; Pulugurtha SS, 2007, ACCIDENT ANAL PREV, V39, P800, DOI 10.1016/j.aap.2006.12.001; Raghad Z.A. Majeed, 2020, INTERSECTIONS IOP C, V2092, P1, DOI [10.1088/1757-899X/671/1/012092, DOI 10.1088/1757-899X/671/1/012092]; ROSENBLATT M, 1956, ANN MATH STAT, V27, P832, DOI 10.1214/aoms/1177728190; Rueda-Villar O, 2019, REV EVALUATION METHO, V15, P1, DOI [10.16925/2357-6014.2019.03.04, DOI 10.16925/2357-6014.2019.03.04]; Saadat S, 2019, CHIN J TRAUMATOL, V22, P148, DOI 10.1016/j.cjtee.2018.12.006; Sabel C.E., 2005, 17 ANN C SPAT INF RE; Shafabakhsh GA, 2017, J TRAFFIC TRANSP ENG, V4, P290, DOI 10.1016/j.jtte.2017.05.005; Silverman B.W., 1986, DENSITY ESTIMATION S; Tapia Z.R., 2009, FACTORES DETERIORO H, V1, P47; Thakali L, 2015, J MOD TRANSP, V23, P93, DOI 10.1007/s40534-015-0068-0; Wang K, 2020, J SMALL BUS MANAGE, DOI [10.1080/01605682.2019.1621671, 10.1080/00472778.2020.1838177]; World Health Organization, 2018, GLOB STAT REP ALC HL; Xia ZX, 2008, COMPUT ENVIRON URBAN, V32, P396, DOI 10.1016/j.compenvurbsys.2008.05.001; Xiao Qin, 2007, TRB 86 ANN M COMP PA, P20; Zhao SC, 2009, IATSS RES, V33, P125, DOI 10.1016/S0386-1112(14)60251-X</t>
  </si>
  <si>
    <t>UNIV GRANADA</t>
  </si>
  <si>
    <t>GRANADA</t>
  </si>
  <si>
    <t>CUESTA DEL HOSPICIO S-N, CAMPUS UNIV, GRANADA, 18071, SPAIN</t>
  </si>
  <si>
    <t>0210-5462</t>
  </si>
  <si>
    <t>2340-0129</t>
  </si>
  <si>
    <t>CUAD GEOGR</t>
  </si>
  <si>
    <t>Cuad. Geogr.</t>
  </si>
  <si>
    <t>10.30827/cuadgeo.v62i1.18025</t>
  </si>
  <si>
    <t>6O5NS</t>
  </si>
  <si>
    <t>WOS:000890288900001</t>
  </si>
  <si>
    <t>Pacheco, KGM</t>
  </si>
  <si>
    <t>Mora Pacheco, Katherinne Giselle</t>
  </si>
  <si>
    <t>The urbanization of the Tunjuelo river. Inequality and environmental change in Bogota in the mid-twentieth century</t>
  </si>
  <si>
    <t>TRASHUMANTE-REVISTA AMERICANA DE HISTORIA SOCIAL</t>
  </si>
  <si>
    <t>Spanish</t>
  </si>
  <si>
    <t>Book Review</t>
  </si>
  <si>
    <t>[Mora Pacheco, Katherinne Giselle] Univ Pedag Tecnol Colombia UPTC, Boyaca, Colombia</t>
  </si>
  <si>
    <t>Pacheco, KGM (corresponding author), Univ Pedag Tecnol Colombia UPTC, Boyaca, Colombia.</t>
  </si>
  <si>
    <t>Gergis JL, 2009, CLIMATIC CHANGE, V92, P343, DOI 10.1007/s10584-008-9476-z; Hocquenghem Anne -Marie, 1992, B LINSTITUT FRANCAIS, V21, P197; Ortlieb Luc., 2001, NINO AM LATINA IMPAC, P361; Quinn William, 1995, CLIMATE AD 1500, P623</t>
  </si>
  <si>
    <t>UNIV ANTIOQUIA</t>
  </si>
  <si>
    <t>APARATADO AEREO 51922, CALLE 62 NO 52-59, MEDELLIN, 00000, COLOMBIA</t>
  </si>
  <si>
    <t>2322-9381</t>
  </si>
  <si>
    <t>2322-9675</t>
  </si>
  <si>
    <t>TRASHUMANTE</t>
  </si>
  <si>
    <t>JAN-JUN</t>
  </si>
  <si>
    <t>10.17533/udea.trahs.n21a11</t>
  </si>
  <si>
    <t>Humanities, Multidisciplinary</t>
  </si>
  <si>
    <t>Arts &amp; Humanities - Other Topics</t>
  </si>
  <si>
    <t>9A0PQ</t>
  </si>
  <si>
    <t>WOS:000933769500011</t>
  </si>
  <si>
    <t>Suarez, GAP; Galindo, NJP; Cuervo, OHP</t>
  </si>
  <si>
    <t>Prieto Suarez, Gloria Astrid; Puerto Galindo, Nataly Julieth; Pardo Cuervo, Oscar H.</t>
  </si>
  <si>
    <t>Obtaining Colombian propolis extracts using modern methods: A determination of its antioxidant capacity and the identification of its bioactive compounds</t>
  </si>
  <si>
    <t>JOURNAL OF SUPERCRITICAL FLUIDS</t>
  </si>
  <si>
    <t>Propolis; Microwave; Antioxidant capacity; Bioactive compounds; Supercritical CO2</t>
  </si>
  <si>
    <t>SUPERCRITICAL CARBON-DIOXIDE; MICROWAVE-ASSISTED EXTRACTION; GREEN PROPOLIS; SECONDARY METABOLITES; PHENOLIC-COMPOUNDS; FRACTIONATION; PROFILE; CONSTITUENTS; POLYPHENOLS; SAMPLES</t>
  </si>
  <si>
    <t>In order to determine the most efficient method to extract bioactive compounds from Colombian propolis, a comparison was made between Soxhlet extraction (SE) and modern extraction methods. A higher yield was obtained by SE (76.55%), followed by microwave-assisted extraction (MAE) (73.84%), and finally extraction by supercritical CO2 fluid (SCCO2E) (1.32%). The highest amount of total polyphenols expressed as mg of gallic acid equivalent per gram of propolis (mg GAE)/gP) was obtained with the use of MAE (81.78), followed by SE (80.19) and SCCO2E (68.99). The highest flavonoid content expressed in mg of quercetin equivalents per gram of propolis (mg QE/gP) (60.11), was obtained using SCCO2E and 15% ethanol as adjuvant. The antioxidant capacity was higher for the extracts obtained with SCCO2E followed by MAE and SE. Finally, by means of HPLC-DAD, the bioactive flavonoids in the extracts obtained by supercritical CO2 were identified.</t>
  </si>
  <si>
    <t>[Prieto Suarez, Gloria Astrid; Puerto Galindo, Nataly Julieth; Pardo Cuervo, Oscar H.] Univ Pedag &amp; Tecnol Colombia UPTC, Escuela Ciencias Quim, Ave Cent Norte 39-115, Tunja 150003, Colombia</t>
  </si>
  <si>
    <t>Cuervo, OHP (corresponding author), Univ Pedag &amp; Tecnol Colombia UPTC, Escuela Ciencias Quim, Ave Cent Norte 39-115, Tunja 150003, Colombia.</t>
  </si>
  <si>
    <t>oscarhernando.pardo@uptc.edu.co</t>
  </si>
  <si>
    <t>pardo, oscar/AFW-0087-2022</t>
  </si>
  <si>
    <t>Pardo Cuervo, oscar H./0000-0003-4357-404X</t>
  </si>
  <si>
    <t>Ahn MR, 2007, FOOD CHEM, V101, P1383, DOI 10.1016/j.foodchem.2006.03.045; Akhir RAM, 2017, AIP CONF PROC, V1891, DOI 10.1063/1.5005423; Al Naggar Y, 2016, J APICULT RES, V55, P305, DOI 10.1080/00218839.2016.1233700; Aljadi AM, 2004, FOOD CHEM, V85, P513, DOI 10.1016/S0308-8146(02)00596-4; Alm-Eldeen AA, 2017, BIOMED PHARMACOTHER, V87, P247, DOI 10.1016/j.biopha.2016.12.084; Athikomkulchai S, 2013, FITOTERAPIA, V88, P96, DOI 10.1016/j.fitote.2013.04.008; Bankova V, 2002, Z NATURFORSCH C, V57, P530; Bankova V, 2021, J APICULT RES, V60, P734, DOI 10.1080/00218839.2021.1901426; Bankova VS, 2000, APIDOLOGIE, V31, P3, DOI 10.1051/apido:2000102; Banskota AH, 2001, PHYTOTHER RES, V15, P561, DOI 10.1002/ptr.1029; Bayram NE, 2020, PROG NUTR, V22, DOI 10.23751/pn.v22i3.8416; Belmehdi Omar, 2019, Current Bioactive Compounds, V15, P696, DOI 10.2174/1573407214666180530100947; Benhanifia M, 2013, INT J FOOD SCI TECH, V48, P2521, DOI 10.1111/ijfs.12244; Bhargava H.R., 2014, J ENERGY ENV, V5, P461, DOI [10.5829/idosi.ijee.2014.05.04.14, DOI 10.5829/IDOSI.IJEE.2014.05.04.14]; Sadeer NB, 2020, ANTIOXIDANTS-BASEL, V9, DOI 10.3390/antiox9080709; Biscaia D, 2009, J SUPERCRIT FLUID, V51, P17, DOI 10.1016/j.supflu.2009.07.011; Boufadi YM, 2014, INT J MOL SCI, V15, P2327, DOI 10.3390/ijms15022327; BRAND-WILLIAMS W, 1995, FOOD SCI TECHNOL-LEB, V28, P25; Burgut A, 2020, KAFKAS UNIV VET FAK, V26, P193, DOI 10.9775/kvfd.2019.22718; Catchpole OJ, 2004, J SUPERCRIT FLUID, V29, P97, DOI 10.1016/S0896-8446(03)00033-0; Chen CT, 2019, JOVE-J VIS EXP, DOI 10.3791/58743; Correa-González Yuly Ximena, 2019, Rev. colomb. cienc. quim. farm., V48, P762, DOI 10.15446/rcciquifa.v48n3.84991; Costa AG, 2020, J NAT PROD, V83, P333, DOI 10.1021/acs.jnatprod.9b00783; Cunha IBS, 2004, J BRAZIL CHEM SOC, V15, P964, DOI 10.1590/S0103-50532004000600026; da Silva C, 2018, FOOD ANAL METHOD, V11, P2013, DOI 10.1007/s12161-018-1161-x; De Zordi N, 2014, J SUPERCRIT FLUID, V95, P491, DOI 10.1016/j.supflu.2014.10.006; Devequi-Nunes D, 2018, PLOS ONE, V13, DOI 10.1371/journal.pone.0207676; dos Santos Pereira A, 2002, QUIM NOVA, V25, P321, DOI 10.1590/S0100-40422002000200021; Escriche I, 2018, FOOD RES INT, V106, P834, DOI 10.1016/j.foodres.2018.01.055; Fasolo D, 2020, J DRUG DELIV SCI TEC, V56, DOI 10.1016/j.jddst.2020.101573; Forma E, 2021, NUTRIENTS, V13, DOI 10.3390/nu13082594; Galindo N. J. P., 2016, REV FAC CIENC AGRAR, V14, P126; Guo XL, 2011, J AGR FOOD CHEM, V59, P12610, DOI 10.1021/jf202818p; Hamzah N, 2015, INT J FOOD ENG, V11, P861, DOI 10.1515/ijfe-2015-0106; Idrus NFM, 2018, MALAYS J FUNDAM APPL, V14, P387; Ilyasov IR, 2020, INT J MOL SCI, V21, DOI 10.3390/ijms21031131; Khalil Mahmoud Lotfy, 2006, Asian Pac J Cancer Prev, V7, P22; Kurek-Gorecka A, 2014, MOLECULES, V19, P78, DOI 10.3390/molecules19010078; Salas AL, 2016, PHYTOMEDICINE, V23, P27, DOI 10.1016/j.phymed.2015.11.007; Monroy YM, 2018, J SUPERCRIT FLUID, V138, P167, DOI 10.1016/j.supflu.2018.04.016; Mouhoubi-Tafinine Z, 2016, IND CROP PROD, V88, P85, DOI 10.1016/j.indcrop.2016.02.033; Narimane S, 2017, PAK J PHARM SCI, V30, P1417; Nina N, 2016, J SCI FOOD AGR, V96, P2142, DOI 10.1002/jsfa.7330; Oroian M, 2020, ULTRASON SONOCHEM, V64, DOI 10.1016/j.ultsonch.2020.105021; Oses SM, 2020, ANTIOXIDANTS-BASEL, V9, DOI 10.3390/antiox9010075; Palomino LR, 2009, VITAE-COLUMBIA, V16, P388; Palomino García Lady Rossana, 2010, Rev. Fac. Nac. Agron. Medellín, V63, P5373; Mora DPP, 2019, PHYTOTHER RES, V33, P591, DOI 10.1002/ptr.6246; Pellati F, 2013, J PHARMACEUT BIOMED, V81-82, P126, DOI 10.1016/j.jpba.2013.04.003; Pietta PG, 2002, FITOTERAPIA, V73, pS7, DOI 10.1016/S0367-326X(02)00186-7; Salamanca G, 2007, ZOOTEC TROP, V25; Salamanca Grosso Guillermo, 2007, Zootecnia Trop., V25, P95; Andrade JKS, 2017, FOOD RES INT, V101, P129, DOI 10.1016/j.foodres.2017.08.066; Schmidt EM, 2014, BIOMED RES INT, V2014, DOI 10.1155/2014/257617; Bonvehi JS, 2011, J AM OIL CHEM SOC, V88, P1387, DOI 10.1007/s11746-011-1792-1; Siripatrawan U, 2013, INT J FOOD SCI TECH, V48, P22, DOI 10.1111/j.1365-2621.2012.03152.x; Sosa-López Ángela Antonia, 2016, J. Selva Andina Biosph., V4, P3; Soumaya T., CHEM ANAL ANTIOXIDAN; Stashenko EE, 2000, J BIOCHEM BIOPH METH, V43, P379, DOI 10.1016/S0165-022X(00)00079-8; Teixeira EW, 2010, EVID-BASED COMPL ALT, V7, P307, DOI 10.1093/ecam/nem177; Torres AR, 2018, BRAZ J MED BIOL RES, V51, DOI [10.1590/1414-431x20187118, 10.1590/1414-431X20187118]; Veiga RS, 2017, J APPL MICROBIOL, V122, P911, DOI 10.1111/jam.13400; Wang BJ, 2004, FOOD CHEM, V86, P237, DOI 10.1016/j.foodchem.2003.09.031; Wiwekowati A.P., 2017, INT RES J ENG IT SCI, V3, DOI [10.21744/irjeis.v3i5.530, DOI 10.21744/IRJEIS.V3I5.530]; Yuan M, 2020, FOOD FUNCT, V11, P2368, DOI 10.1039/c9fo02051a; Yuan Y, 2019, J FOOD SCI, V84, P3850, DOI 10.1111/1750-3841.14934; Zhang HF, 2011, TRENDS FOOD SCI TECH, V22, P672, DOI 10.1016/j.tifs.2011.07.003; Zhao YaZhou, 2012, Journal of Agricultural Science and Technology (Beijing), V14, P85</t>
  </si>
  <si>
    <t>0896-8446</t>
  </si>
  <si>
    <t>1872-8162</t>
  </si>
  <si>
    <t>J SUPERCRIT FLUID</t>
  </si>
  <si>
    <t>J. Supercrit. Fluids</t>
  </si>
  <si>
    <t>10.1016/j.supflu.2022.105538</t>
  </si>
  <si>
    <t>Chemistry, Physical; Engineering, Chemical</t>
  </si>
  <si>
    <t>0J8ZE</t>
  </si>
  <si>
    <t>WOS:000780387500004</t>
  </si>
  <si>
    <t>Moreno, JHR; Velandia, J; Igua, D</t>
  </si>
  <si>
    <t>Moreno, Jaime Hernan Rodriguez; Velandia, Jesus; Igua, Diana</t>
  </si>
  <si>
    <t>Lessons for the Implement ability and Sustainability of the SURG-Africa Model of Malawi in Colombia; Comment on Improving Access to Surgery Through Surgical Team Mentoring - Policy Lessons From Group Model Building With Local Stakeholders in Malawi</t>
  </si>
  <si>
    <t>INTERNATIONAL JOURNAL OF HEALTH POLICY AND MANAGEMENT</t>
  </si>
  <si>
    <t>Health Management; Implementation; Quality; Healthcare Policies; Sustainability</t>
  </si>
  <si>
    <t>The development of models that allow improving the quality to achieve person-centered care is a challenge for any health system, especially in low-and middle-income countries, due to the economic difficulties inherent to the countries and to the cost involved in its implementation, which should be assumed by the states, avoiding that the economic burden is assumed by the population, and approaching the goal of universal health coverage. The availability of human talent and efficiency in the use of basic and specialized human talent is a necessity to improve safe access to health services, in this sense, the model proposed by SURG-Africa and whose sustainability in Malawi was evaluated, is an important reference for the establishment and sustainability of these models with other specialties and in other countries. Through this article, the elements of education, care model and financing for the implementation of the strategy in Family Medicine in the Colombian Health System are</t>
  </si>
  <si>
    <t>[Moreno, Jaime Hernan Rodriguez; Velandia, Jesus; Igua, Diana] Univ Pedag &amp; Tecnol Colombia UPTC, Family Med Dept, Tunja, Colombia</t>
  </si>
  <si>
    <t>Moreno, JHR (corresponding author), Univ Pedag &amp; Tecnol Colombia UPTC, Family Med Dept, Tunja, Colombia.</t>
  </si>
  <si>
    <t>jaherom@gmail.com</t>
  </si>
  <si>
    <t>Rodriguez Moreno, Jaime Hernan/0000-0002-6335-7424; IGUA ROPERO, DIANA MARIA/0000-0003-0338-0259</t>
  </si>
  <si>
    <t>Broekhuizen H, 2021, INT J HEALTH POLICY, DOI 10.34172/ijhpm.2021.78; Day C, 2016, EDUC ADMIN QUART, V52, P221, DOI 10.1177/0013161X15616863; Kyeremanteng K, 2019, CRIT CARE RES PRACT, V2019, DOI 10.1155/2019/8943972; Lee K, 2009, GLOB INST, P1; Massachusetts Medical Society, 2018, WHAT IS PAY PERF HEA, DOI [10.1056/CAT.18.0245, DOI 10.1056/CAT.18.0245]; Ministerio de Salud y Proteccion Social, MOD INT AT SAL MIAS; Verma Amol, 2016, Healthc Pap, V15, P9; Zurro AM, 2018, ATENCION FAMILIAR SA, V2nd</t>
  </si>
  <si>
    <t>KERMAN UNIV MEDICAL SCIENCES</t>
  </si>
  <si>
    <t>KERMAN</t>
  </si>
  <si>
    <t>JAHAD BLVD, KERMAN, 7619813159, IRAN</t>
  </si>
  <si>
    <t>2322-5939</t>
  </si>
  <si>
    <t>INT J HEALTH POLICY</t>
  </si>
  <si>
    <t>Int. J. Health Policy Manag.</t>
  </si>
  <si>
    <t>2022 JUN 12</t>
  </si>
  <si>
    <t>10.34172/ijhpm.2022.6974</t>
  </si>
  <si>
    <t>Health Care Sciences &amp; Services; Health Policy &amp; Services</t>
  </si>
  <si>
    <t>Health Care Sciences &amp; Services</t>
  </si>
  <si>
    <t>2C1RK</t>
  </si>
  <si>
    <t>WOS:000810653700001</t>
  </si>
  <si>
    <t>Lancheros-Buitrago, DJ; Bulla-Castaneda, DM; Pulido-Medellin, MO; Buitrago, HLA; Diaz-Anaya, AM; Garcia-Corredor, DJ</t>
  </si>
  <si>
    <t>Lancheros-Buitrago, Deisy J.; Bulla-Castaneda, Diana M.; Pulido-Medellin, Martin O.; Lopez Buitrago, Henry A.; Diaz-Anaya, Adriana M.; Garcia-Corredor, Diego J.</t>
  </si>
  <si>
    <t>Serodiagnosis and Risk Factors Associated with Infectious Agents of Reproductive Diseases in Bovines of Chiquinquira, District of Boyaca (Colombia)</t>
  </si>
  <si>
    <t>VETERINARY MEDICINE INTERNATIONAL</t>
  </si>
  <si>
    <t>NEOSPORA-CANINUM; SEROPREVALENCE; RHINOTRACHEITIS; LEPTOSPIROSIS; DISORDERS; DIAGNOSIS; PROVINCE; VIRUS; HERD; COWS</t>
  </si>
  <si>
    <t>The productivity of cattle farms is affected by infectious and noninfectious factors that generate economic losses and cause reproductive failure represented by low conception rates, embryonic mortality, abortions, and fetal mummification. The infectious agents that most impact the reproductive health of the bovine species from conception to birth are bovine herpesvirus type 1 (BoHV-1) causing infectious bovine rhinotracheitis (IBR), bovine viral diarrhea virus (BVDV), bovine parainfluenza virus type 3 (PI3), Neospora caninum and Leptospira spp. The objective of this study was to diagnose the presence of BoHV-1, bovine viral diarrhea (BVD), PI3, Neospora caninum, and Leptospira spp. by serology and identify the risk factors associated with infectious agents of reproductive interest in bovines of Boyaca (Colombia). A descriptive cross-sectional study was developed, with simple random sampling, where a sample size of 601 female cattle of Holstein, Jersey, and Normande breeds of different age groups was determined. Blood samples were taken and processed using the indirect ELISA technique (SYNBIOTICS (R), SERELISA (R) BVD p80 Ab Mono Blocking, Ingezim R.12.NC.K, PRIMACHECK VPI-3 (R)) and the MAT test for the diagnosis of bovine leptospirosis. The data were processed with the statistical program Epi Info (TM). The highest apparent seroprevalence was established for infectious bovine rhinotracheitis (61.1%), followed by BVD (37.6%), PI3 (40.9%), neosporosis (51.1%), and leptospirosis (14.8%). Variables such as age &gt;4 years and Holstein breed for IBR and &gt;4 years for BVD were established risk factors. Considering our results, we suggest implementing prevention and control plans that include vaccination as a prophylactic measure and biosecurity tools that reduce the probability of contagion and transmission of pathogens.</t>
  </si>
  <si>
    <t>[Lancheros-Buitrago, Deisy J.; Bulla-Castaneda, Diana M.; Pulido-Medellin, Martin O.; Lopez Buitrago, Henry A.; Diaz-Anaya, Adriana M.; Garcia-Corredor, Diego J.] Univ Pedag &amp; Tecnol Colombia UPTC, Vet Med &amp; Zootechnol Res Grp GIDIMEVETZ, Tunja 15003, Colombia</t>
  </si>
  <si>
    <t>Bulla-Castaneda, DM (corresponding author), Univ Pedag &amp; Tecnol Colombia UPTC, Vet Med &amp; Zootechnol Res Grp GIDIMEVETZ, Tunja 15003, Colombia.</t>
  </si>
  <si>
    <t>deisy.johana@uptc.edu.co; diana.bulla@uptc.edu.co; martin.pulido@uptc.edu.co; henryalexanderlopez@gmail.com; adrianamaria.diaz@uptc.edu.co; diegojose.garcia@uptc.edu.co</t>
  </si>
  <si>
    <t>Lancheros-Buitrago, Deisy Johana/0000-0002-7984-3881; Garcia Corredor, Diego Jose/0000-0001-5122-5435; Lopez, Henrry/0000-0002-6482-2412; Bulla-Castaneda, Diana Maria/0000-0002-3740-9454; DIAZ ANAYA, ADRIANA MARIA/0000-0002-8192-6379; Pulido-Medellin, Martin Orlando/0000-0003-4989-1476</t>
  </si>
  <si>
    <t>Ansari-Lari M, 2020, PREV VET MED, V176, DOI 10.1016/j.prevetmed.2020.104913; Llano HAB, 2018, VET ANIM SCI, V6, P69, DOI 10.1016/j.vas.2018.03.001; Betancur Hurtado César, 2013, Rev. Med. Vet., P47; Betancur Hurtado C., 2010, REV MED VET-BOGOTA, V20, P63, DOI [10.19052/mv.583, DOI 10.19052/MV.583]; Betancur-Hurtado C., 2017, REV CIENTIFICA FACUL, V27; Cardona José A., 2015, rev.udcaactual.divulg.cient., V18, P401; Censo agropecuario I.C.A, 2020, CENS PEC NAC; Cruz Carrillo Anastasia, 2014, Ces. Med. Vet. Zootec., V9, P238; Cruz-Estupiñan S., 2019, Rev. Med. Vet. Zoot., V66, P197, DOI [10.15446/rfmvzv66n3.84256, 10.15446/rfmvz.v66n3.84256]; de Barros LD, 2021, VET PARASITOL REG ST, V23, DOI 10.1016/j.vprsr.2020.100524; Dias F. E. F., 2006, Brazilian Journal of Veterinary Research and Animal Science, V43, P394; Doria-Ramos M, 2020, REV MEX CIENC PECU, V11, P771, DOI 10.22319/rmcp.v11i3.5154; Ensuncho-Hoyos C, 2017, TROP ANIM HEALTH PRO, V49, P1345, DOI 10.1007/s11250-017-1332-6; Fernández M. A., 2020, Rev. vet., V31, P155, DOI 10.30972/vet.3124737; Figueiredo Marques G., 2017, PANAFTOSA, V112; Galvis Garcia T., 2016, REV FACULTAD CIENCIA, V3, P36; Gard J, 2020, REPROD TECHNOLOGIES; Gilbert R.O, 2007, REBHUNS DIS DAIRY CA; González-Bautista Edgar Daniel, 2021, Rev. Med. Vet., P117, DOI 10.19052/mv.vol1.iss43.11; Gonzalez-Bautista EDD, 2021, VET ANIM SCI, V14, DOI 10.1016/j.vas.2021.100202; Kipyego ES, 2020, PREV VET MED, V175, DOI 10.1016/j.prevetmed.2019.104863; Llanco A L., 2017, REV INVESTIGACIONES, V28, P696, DOI [10.15381/rivep.v28i3.13287, DOI 10.15381/RIVEP.V28I3.13287]; Figueredo GM, 2017, REV INVESTIG VET PER, V28, P1002, DOI 10.15381/rivep.v28i4.12850; Motta Giraldo Javier Leonardo, 2014, Rev Salud Anim., V36, P80; Municipal de Chiquinquira A, 2020, ALC MUN CHIQ; Munoz Murcia A.L., 2020, REV FAC MED VET ZOOT, V67, P9, DOI [10.15446/rfmvz.v67n1.87675, DOI 10.15446/RFMVZ.V67N1.87675]; Newcomer BW, 2016, VET CLIN N AM-FOOD A, V32, P425, DOI 10.1016/j.cvfa.2016.01.011; Newcomer BW, 2014, VET MICROBIOL, V170, P246, DOI 10.1016/j.vetmic.2014.02.028; Ochoa X, 2012, REV MVZ CORDOBA, V17, P2974, DOI 10.21897/rmvz.231; Ortega-Mora LM, 2003, VET PARASITOL, V117, P301, DOI 10.1016/j.vetpar.2003.09.015; Ortiz Gonzalez A.D., 2019, CES MED VET ZOOTECN, V14, P18, DOI [10.21615/cesmvz.14.1.2, DOI 10.21615/CESMVZ.14.1.2]; Ruano MP, 2020, COMP IMMUNOL MICROB, V72, DOI 10.1016/j.cimid.2020.101527; Medellin MOP, 2013, REV MEX CIENC PECU, V4, P501; Pulido-Medellin M., 2017, Veterinaria y Zootecnia, V11, P55; Pulido-Medellín Martín Orlando, 2016, Rev. investig. vet. Perú, V27, P355, DOI 10.15381/rivep.v27i2.11658; Reddy RVC, 2020, THERIOGENOLOGY, V157, P467, DOI 10.1016/j.theriogenology.2020.08.021; Segura-Correa JC, 2010, PREV VET MED, V96, P272, DOI 10.1016/j.prevetmed.2010.07.006; Semango G, 2019, FRONT VET SCI, V6, DOI 10.3389/fvets.2019.00327; Sibhat B, 2018, PREV VET MED, V150, P126, DOI 10.1016/j.prevetmed.2017.12.019; Thrusfield M, 2018, VET EPIDEMIOLOGY; Van Loo H, 2021, PREV VET MED, V191, DOI 10.1016/j.prevetmed.2021.105366; Vargas-Nino A, 2018, REV MVZ CORDOBA, V23, P6671, DOI 10.21897/rmvz.1341; Washburn K.E, 2020, ANIMAL AGR SUSTAINAB; Wathes DC, 2020, ENGINEERING-PRC, V6, P26, DOI 10.1016/j.eng.2019.07.020; Yoo HS, 2010, J REPROD DEVELOP, V56, pS53, DOI 10.1262/jrd.1056S53</t>
  </si>
  <si>
    <t>2090-8113</t>
  </si>
  <si>
    <t>2042-0048</t>
  </si>
  <si>
    <t>VET MED INT</t>
  </si>
  <si>
    <t>Vet. Med. Int.</t>
  </si>
  <si>
    <t>JUL 16</t>
  </si>
  <si>
    <t>10.1155/2022/7436651</t>
  </si>
  <si>
    <t>Veterinary Sciences</t>
  </si>
  <si>
    <t>3H2ZL</t>
  </si>
  <si>
    <t>WOS:000831908400001</t>
  </si>
  <si>
    <t>Baron, MJS; Gomez, AL; Diaz, JEE</t>
  </si>
  <si>
    <t>Suarez Baron, Marco Javier; Lizeth Gomez, Angie; Espindola Diaz, Jorge Enrique</t>
  </si>
  <si>
    <t>Supervised Learning-Based Image Classification for the Detection of Late Blight in Potato Crops</t>
  </si>
  <si>
    <t>APPLIED SCIENCES-BASEL</t>
  </si>
  <si>
    <t>classification; image processing; mobile app; precision agriculture; supervised learning</t>
  </si>
  <si>
    <t>This article presents the application of supervised learning and image classification for the early detection of late blight disease in potato using convolutional neural network and support vector machine SVM. The study was realized in the Boyaca department, Colombia. An initial dataset is created with the acquisition of a large number of images directly from the crops. These images are pre-processed in order to extract the main characteristics of the late blight disease. A classification model is developed to identify the potato plants as healthy or infected. Several performance, efficiency, and quality metrics were applied in the learning and classification tasks to determine the best machine learning algorithms. Then, an additional data set was used for validation, image classification, and detection of late blight disease in potato crops in the department of Boyaca, Colombia. The results obtained in the AUC curve show that the CNN trained with the data set obtained an AUC equal to 0.97; and the analysis through SVM obtained an AUC equal to 0.87. Future work requires the development of a mobile application with advanced features as a technological tool for precision agriculture that supports farmers with increased agricultural productivity.</t>
  </si>
  <si>
    <t>[Suarez Baron, Marco Javier; Lizeth Gomez, Angie; Espindola Diaz, Jorge Enrique] Pedag &amp; Technol Univ Colombia, Dept Syst &amp; Comp, Sogamoso 150003, Colombia</t>
  </si>
  <si>
    <t>Baron, MJS (corresponding author), Pedag &amp; Technol Univ Colombia, Dept Syst &amp; Comp, Sogamoso 150003, Colombia.</t>
  </si>
  <si>
    <t>marco.suarez@uptc.edu.co</t>
  </si>
  <si>
    <t>SUAREZ BARON, MARCO JAVIER/0000-0003-1656-4452; Espindola Diaz, Jorge Enrique/0000-0003-4530-7383</t>
  </si>
  <si>
    <t>UPTC, Colombia [SGI Project] [3096]</t>
  </si>
  <si>
    <t>UPTC, Colombia [SGI Project]</t>
  </si>
  <si>
    <t>This study was supported by the UPTC, Colombia [SGI Project 3096].</t>
  </si>
  <si>
    <t>Agarwal M, 2020, PROCEDIA COMPUT SCI, V167, P293, DOI 10.1016/j.procs.2020.03.225; Ashqar B. A., 2018, IMAGE BASED TOMATO L; Barriga Pozada A.C., 2018, DIAGNOSTICO AUTOMATI; Bravo I.A., 2019, TIZON TARDIO PAPA ES; FEDEPAPA, 2020, INF TRIM COYUNT EC S; Hou CJ, 2021, J AGR FOOD RES, V5, DOI 10.1016/j.jafr.2021.100154; Kose U., 2022, ARTIF INTELL, P45; Kurmi Y, 2022, MULTIMED TOOLS APPL, V81, P8155, DOI 10.1007/s11042-022-11910-7; Lozada-Portilla W.A., 2021, REV UDCA ACT DIV CIE, V24, pe1917; Mishra S, 2020, PROCEDIA COMPUT SCI, V167, P2003, DOI 10.1016/j.procs.2020.03.236; Nandhini S, 2022, NEURAL COMPUT APPL, V34, P5513, DOI 10.1007/s00521-021-06714-z; Ortiz Daza C.A., 2021, DESARROLLO HERRAMIEN; Shrivastava VK, 2021, J PLANT PATHOL, V103, P17, DOI 10.1007/s42161-020-00683-3</t>
  </si>
  <si>
    <t>2076-3417</t>
  </si>
  <si>
    <t>APPL SCI-BASEL</t>
  </si>
  <si>
    <t>Appl. Sci.-Basel</t>
  </si>
  <si>
    <t>10.3390/app12189371</t>
  </si>
  <si>
    <t>Chemistry, Multidisciplinary; Engineering, Multidisciplinary; Materials Science, Multidisciplinary; Physics, Applied</t>
  </si>
  <si>
    <t>Chemistry; Engineering; Materials Science; Physics</t>
  </si>
  <si>
    <t>4S7EB</t>
  </si>
  <si>
    <t>WOS:000857598400001</t>
  </si>
  <si>
    <t>Paipilla, AGS; Vaca, MKD; Ricaurte, JAB; Amarillo, AMG; Castellanos, PNL</t>
  </si>
  <si>
    <t>Paipilla, Ariel Guillermo Sanchez; Vaca, Monica Katherine Duran; Ricaurte, Javier Antonio Ballesteros; Amarillo, Angela Maria Gonzalez; Castellanos, Pedro Nel Lopez</t>
  </si>
  <si>
    <t>Bot crawler to retrieve data from Facebook based on the selection of posts and the extraction of user profiles</t>
  </si>
  <si>
    <t>INGE CUC</t>
  </si>
  <si>
    <t>Web scraping; web crawling; HTML; Social Networking; data</t>
  </si>
  <si>
    <t>Introduction: Data can currently be found within organizations and outside of them, they are growing exponentially. Today, the information available on the Internet and social networks has become a generator of value, through the effective analysis of a specific situation, using techniques and methodologies with which content-based solutions can be proposed, and thus achieve, execute timely, intelligent and assertive decision-making processes.Objective: The main objective of this work is to development of a Bot Crawler, which allows extracting information from Facebook without access restrictions, or request for credentials, based on web crawling and scraping techniques, through the selection of HTML tags, to track and be able to define patterns.Method: The development of this project consisted of four main stages: A) Teamwork with SCRUM, B) Comparison of web data extraction techniques, C) Extraction and validation of permissions to access the data in Facebook, D) Development of the bor crawler.Results: Briefly, mention the main results of the researchConclusions: As a result of this process, a graphical interface is created that allows checking the process of obtaining data derived from user profiles of this social network.</t>
  </si>
  <si>
    <t>[Paipilla, Ariel Guillermo Sanchez; Vaca, Monica Katherine Duran; Ricaurte, Javier Antonio Ballesteros; Castellanos, Pedro Nel Lopez] Univ Pedag &amp; Tecnol Colombia, Tunja, Colombia; [Amarillo, Angela Maria Gonzalez] Univ Nacl Abierta &amp; Distancia, Syst Engn program, Tunja, Colombia</t>
  </si>
  <si>
    <t>Paipilla, AGS (corresponding author), Univ Pedag &amp; Tecnol Colombia, Tunja, Colombia.</t>
  </si>
  <si>
    <t>Ariel.sanchez@uptc.edu.co; monica.duran@uptc.edu.co; cJavier.ballesteros@uptc.edu.co; angela.gonzalez@unad.edu.co; Pedronel.lopez@uptc.edu.co</t>
  </si>
  <si>
    <t>Research project Analysis of suicidal behavior in social networks through data analytics and machine learning - Pedagogical and Technological University of Colombia</t>
  </si>
  <si>
    <t>Scientific research article derived from the research project Analysis of suicidal behavior in social networks through data analytics and machine learning, financed by the Pedagogical and Technological University of Colombia. Start year: 2021, end year: 2022.</t>
  </si>
  <si>
    <t>Bolbol N, 2021, 2021 PALESTINIAN INTERNATIONAL CONFERENCE ON INFORMATION AND COMMUNICATION TECHNOLOGY (PICICT 2021), P157, DOI 10.1109/PICICT53635.2021.00038; Coban O, 2021, ACM T ASIAN LOW-RESO, V20, DOI 10.1145/3448253; Colmenares G. D., 2019, CIS1830CP01 DEEP DAR; Erlandsson F, 2015, SECOND EUROPEAN NETWORK INTELLIGENCE CONFERENCE (ENIC 2015), P9, DOI 10.1109/ENIC.2015.10; Feng YB, 2019, IEEE CONF COMM NETW, P169; Galdino I. M., 2020, UTILIZACAO BOTS OBTE, DOI [10.5753/wcge.2020.11269, DOI 10.5753/WCGE.2020.11269]; Gang Gao, 2019, IOP Conference Series: Earth and Environmental Science, V234, DOI 10.1088/1755-1315/234/1/012093; Grebic B., 2021, EUR PROJ MANAG J, V11, P37, DOI [10.18485/epmj.2021.11.2.4, DOI 10.18485/EPMJ.2021.11.2.4]; Habib Hana, 2022, Proceedings of the ACM on Human-Computer Interaction, V6, DOI 10.1145/3512906; Ho JCT, 2019, PROCEEDINGS OF THE 30TH ACM CONFERENCE ON HYPERTEXT AND SOCIAL MEDIA (HT '19), P271, DOI 10.1145/3342220.3344923; Hossen MK, 2018, PROCEEDINGS OF 2018 INTERNATIONAL CONFERENCE ON COMPUTING AND ARTIFICIAL INTELLIGENCE (ICCAI 2018), P41, DOI 10.1145/3194452.3194466; Huang YC, 2021, LECT NOTE NETW SYST, V275, P50, DOI 10.1007/978-3-030-80091-8_7; Kaur S, 2021, COMPLEX INTELL SYST, DOI 10.1007/s40747-021-00471-1; Klymash M, 2020, 15TH INTERNATIONAL CONFERENCE ON ADVANCED TRENDS IN RADIOELECTRONICS, TELECOMMUNICATIONS AND COMPUTER ENGINEERING (TCSET - 2020), P458, DOI 10.1109/TCSET49122.2020.235475; Lagopoulos A, 2018, PROC INT C TOOLS ART, P968, DOI 10.1109/ICTAI.2018.00150; Lewandowski P, 2020, IEEE ACCESS, V8, P141292, DOI 10.1109/ACCESS.2020.3012969; Martinez R., 2019, 25 CONGRESO ARGENTIN, P457; Meiser G, 2021, ASIA CCS'21: PROCEEDINGS OF THE 2021 ACM ASIA CONFERENCE ON COMPUTER AND COMMUNICATIONS SECURITY, P110, DOI 10.1145/3433210.3437510; Pais S, 2019, 11TH INTERNATIONAL CONFERENCE ON MANAGEMENT OF DIGITAL ECOSYSTEMS (MEDES), P16, DOI 10.1145/3297662.3365805; Ramirez Ramirez M., 2018, REV IBERICA SIST TEC, VE17, P1062; Thota Poojitha, 2021, PETRA 2021: The 14th PErvasive Technologies Related to Assistive Environments Conference, P306, DOI 10.1145/3453892.3461333; Wang L., 2021, ACM INT C PROCEEDING, P254, DOI [10.1145/3495018.3495061, DOI 10.1145/3495018.3495061]; Yadav M., 2019, INT J COMPUT SCI COM, V10, P171</t>
  </si>
  <si>
    <t>UNIV COSTA</t>
  </si>
  <si>
    <t>BARRANQUILLA</t>
  </si>
  <si>
    <t>CALLE 58 NO 55-66, BARRANQUILLA, 00000, COLOMBIA</t>
  </si>
  <si>
    <t>0122-6517</t>
  </si>
  <si>
    <t>2382-4700</t>
  </si>
  <si>
    <t>10.17981/ingecuc.18.2.2022.08</t>
  </si>
  <si>
    <t>8C0HM</t>
  </si>
  <si>
    <t>WOS:000917298600007</t>
  </si>
  <si>
    <t>Mora, LYC; Tarazona, DYG; Quintero, MDB; Barrera, EJA; Ruiz, JSU; Moreno, DMA; Perez, ZZO</t>
  </si>
  <si>
    <t>Correa Mora, Lenny Yojana; Galvis Tarazona, Daicy Yaneth; Bohorquez Quintero, Maria de los Angeles; Araque Barrera, Eyda Johanna; Urquijo Ruiz, Johan Sebastian; Arias Moreno, Diana Marcela; Ojeda Perez, Zaida Zarely</t>
  </si>
  <si>
    <t>Impact of initial explants on in vitro propagation of native potato (Solanum tuberosum, Andigena group)</t>
  </si>
  <si>
    <t>PLANT CELL TISSUE AND ORGAN CULTURE</t>
  </si>
  <si>
    <t>Native potato; Micropropagation; Morphogenic potential; Germplasm conservation</t>
  </si>
  <si>
    <t>DIVERSITY; CULTURES</t>
  </si>
  <si>
    <t>Key message Distal segments of apical sprouts gave the best in vitro morphogenic responses for sixteen different Andean native potato genotypes. The high nutritional potential of native potatoes makes them an invaluable genetic resource for breeding. However, pathogens have caused both yield and industrial quality losses, and plant tissue culture is a promising alternative to obtain clean plant material. We compared distinct segments excised from apical and lateral sprouts taken from tubers as initial explants for in vitro culture of sixteen native potato genotypes. Thus, apical-distal (AD), mid-apical, lateral-distal, and mid-lateral segments were all grown on Murashige &amp; Skoog medium. These explants were aseptic, reactive, and viable for all genotypes (with a probability greater than 30%), yielding cumulative proliferation rates of up to 1:10 individualizable segments, and about 86% of in vitro plants with 2 to 11 roots of up to 117 mm long. Responses were genotype-dependent during all stages of cultivation, and the best responding genotypes were Maravillosa, Duraznillo and Pepina Rodeo. On the other hand, AD sprouts were the best sprout type and segment for in vitro establishment, regardless of genotype. This is the first study of its kind with such a large range of Andean potato genotypes and should contribute to their germplasm conservation and increased multiplication efficiency.</t>
  </si>
  <si>
    <t>[Correa Mora, Lenny Yojana; Galvis Tarazona, Daicy Yaneth; Bohorquez Quintero, Maria de los Angeles; Araque Barrera, Eyda Johanna; Arias Moreno, Diana Marcela; Ojeda Perez, Zaida Zarely] Univ Pedag &amp; Tecnol Colombia, Fac Ciencias, Grp Invest BIOPLASMA, Ave Cent Norte 39-115, Tunja, Boyaca, Colombia; [Correa Mora, Lenny Yojana] Univ Pedag &amp; Tecnol Colombia, Fac Ciencias, Ciencias Biol, Ave Cent Norte 39-115, Tunja, Boyaca, Colombia; [Urquijo Ruiz, Johan Sebastian] Univ Nacl Colombia, Fac Ciencias Agr, Geomat, Carrera 30 45-03,Bld 500, Bogota, DC, Colombia</t>
  </si>
  <si>
    <t>Universidad Pedagogica y Tecnologica de Colombia (UPTC); Universidad Pedagogica y Tecnologica de Colombia (UPTC); Universidad Nacional de Colombia</t>
  </si>
  <si>
    <t>Moreno, DMA (corresponding author), Univ Pedag &amp; Tecnol Colombia, Fac Ciencias, Grp Invest BIOPLASMA, Ave Cent Norte 39-115, Tunja, Boyaca, Colombia.</t>
  </si>
  <si>
    <t>Boyaca and Colombia Bio Program [794]; Young Researcher Program 2020 of the UPTC, convocation VIE [18]</t>
  </si>
  <si>
    <t>Boyaca and Colombia Bio Program; Young Researcher Program 2020 of the UPTC, convocation VIE</t>
  </si>
  <si>
    <t>The research leading to these results received funding from the Boyaca and Colombia Bio Program, convocation 794 of 2017 I+D projects for the technological development of a biological origin that contribute to the challenges of the Department of Boyaca-2017. Also, partial financial support was received from by Young Researcher Program 2020 of the UPTC, convocation VIE No. 18.</t>
  </si>
  <si>
    <t>Agramonte D., 1999, METODOS BIOTECNOLOGI; AGUILAR ME, 1992, IN VITRO CELL DEV-PL, V28P, P15; Araque Barrera Eyda Johanna, 2018, Ciencia en Desarrollo, V9, P21; Arellano M., 2010, PRODUCCION PLANTULAS; Badoni A., 2010, ACAD ARENA, V2, P24, DOI [10.7537/marsaaj020410.03, DOI 10.7537/MARSAAJ020410.03]; Berdugo-Cely J, 2017, PLOS ONE, V12, DOI 10.1371/journal.pone.0173039; Bradeen J. M., 2011, Genetics, genomics and breeding of potato, P1; Bradshaw JE, 2009, ADVANCES IN POTATO CHEMISTRY AND TECHNOLOGY, P1, DOI 10.1016/B978-0-12-374349-7.00001-5; Chanat?sig C., 2004, INDUCCION EMBRIOGENE; Ebad F. A. S., 2015, Academia Journal of Agricultural Research, V3, P184; Fock I, 2000, PLANT SCI, V160, P165, DOI 10.1016/S0168-9452(00)00375-7; Gao XH, 2017, HORMONE METABOLISM AND SIGNALING IN PLANTS, P107, DOI 10.1016/B978-0-12-811562-6.00004-9; Garcia-Aguila Leyanis, 2015, Biotecnologia Vegetal, V15, P75; Ha CM, 2010, CURR TOP DEV BIOL, V91, P103, DOI 10.1016/S0070-2153(10)91004-1; Hardigan MA, 2017, P NATL ACAD SCI USA, V114, pE9999, DOI 10.1073/pnas.1714380114; Hernandez Y., 2010, CULTIV TROP, V31; HUAMAN X, 2012, FOLIA AMAZON, V21, P109; Igarza J., 2012, BIOTECNOL VEG, V21, P3; Joshi M, 2021, PHYSIOL PLANTARUM, V172, P124, DOI 10.1111/ppl.13305; Machida-Hirano R, 2015, BREEDING SCI, V65, P26, DOI 10.1270/jsbbs.65.26; Mohapatra P.P., 2017, INT J CURRENT MICROB, V6, P489, DOI [10.20546/ijcmas.2017.604.058, DOI 10.20546/IJCMAS.2017.604.058]; Moreno J. D., 2006, REV INNOVACION CAMBI, V4, P16; Mroginski L., 2010, BIOTECNOLOGIA MEJORA, VII, P17; MURASHIGE T, 1962, PHYSIOL PLANTARUM, V15, P473, DOI 10.1111/j.1399-3054.1962.tb08052.x; Naik P., 2018, BIOTECHNOLOGIES CROP, V1, P131; Núñez Zarantes Victor Manuel, 2020, Rev. colomb. biotecnol, V22, P3, DOI 10.15446/rev.colomb.biote.v22n1.88590; Calliope SR, 2018, FOOD CHEM, V238, P42, DOI 10.1016/j.foodchem.2016.12.074; Rzepka-Plevnes D, 2009, J FOOD AGRIC ENVIRON, V7, P576; Sandana P., 2021, POTATO CROP PHYSL CA, P550, DOI [10.1016/B978-0-12-819194, DOI 10.1016/B978-0-12-819194-1.00018-9]; Sas Institute Inc, 2015, SAS U ED VIRT APPL; Shahriyar S., 2015, ASIAN J MED BIOL RES, V1, P297, DOI [10.3329/ajmbr.v1i2.25625, DOI 10.3329/AJMBR.V1I2.25625]; Singh CR., 2018, ASIAN J BIOL SCI, V11, P165, DOI [DOI 10.3923/AJBS.2018.165.172, 10.3923/ajbs.2018]; Slavov S, 2005, BIOTECHNOL BIOTEC EQ, V19, P48, DOI DOI 10.1080/13102818.2005.10817285; Tacoronte B Melangel, 2017, Rev. colomb. biotecnol, V19, P63, DOI 10.15446/rev.colomb.biote.v19n2.70160; Tapia M., 2007, ORIGEN PLANTAS CULTI, P1; Tejeda L, 2020, POTATO RES, V63, P579, DOI 10.1007/s11540-020-09458-w; Tekielska D., 2019, Acta Universitatis Agriculturae et Silviculturae Mendelianae Brunensis, V67, P1005; Tinjac? S., 2015, CATALOGO PAPAS NATIV; Valderrama A., 2018, BIG BANG, V7, P4; Xhulaj D., 2018, Agriculture and Forestry, V64, P105, DOI 10.17707/agricultforest.64.4.12</t>
  </si>
  <si>
    <t>DORDRECHT</t>
  </si>
  <si>
    <t>VAN GODEWIJCKSTRAAT 30, 3311 GZ DORDRECHT, NETHERLANDS</t>
  </si>
  <si>
    <t>0167-6857</t>
  </si>
  <si>
    <t>1573-5044</t>
  </si>
  <si>
    <t>PLANT CELL TISS ORG</t>
  </si>
  <si>
    <t>Plant Cell Tissue Organ Cult.</t>
  </si>
  <si>
    <t>10.1007/s11240-022-02317-1</t>
  </si>
  <si>
    <t>MAY 2022</t>
  </si>
  <si>
    <t>Biotechnology &amp; Applied Microbiology; Plant Sciences</t>
  </si>
  <si>
    <t>3S5XY</t>
  </si>
  <si>
    <t>WOS:000800833700001</t>
  </si>
  <si>
    <t>Turizo, IT; Olmo, JC; Guervos, RC</t>
  </si>
  <si>
    <t>Turizo, I. Tamaris; Olmo, J. Chica; Guervos, R. Cano</t>
  </si>
  <si>
    <t>The use of geostatistics to estimate missing data in a spatial econometric model of housing prices</t>
  </si>
  <si>
    <t>REVISTA INGENIERIA DE CONSTRUCCION</t>
  </si>
  <si>
    <t>Hedonic mode; geostatistics; spatial econometrics; housing prices; missing data; heteroscedasticity</t>
  </si>
  <si>
    <t>HEDONIC PRICES; ACCESSIBILITY; AUTOCORRELATION; DETERMINANTS; PREDICTION; AMENITY; INDEXES; DEMAND; COUNTY; AGE</t>
  </si>
  <si>
    <t>Housing prices have been the subject of many studies, and some of them have tried to determine the influencing structural and location factors through hedonic econometric models. One of the main factors considered in the literature on real estate appraisals is the location of the dwellings. For this reason, this study combines the spatial methodologies of geostatistics and spatial econometrics. On the one hand, this work uses geostatistics to estimate missing data to account for the lack of information in the sampled real estate websites. On the other hand, the explanatory factors of prices are determined through spatial econometrics. The combination of both methods facilitates estimating housing prices in Santa Marta (Colombia), solving the problem of missing data. In the modeling, the problems of spatial heteroscedasticity and multicollinearity are corrected. This combination of methods could be of great interest to company ies and public agencies related to real estate activity, which is sustained by the information available on these real estate websites.</t>
  </si>
  <si>
    <t>[Turizo, I. Tamaris] Univ Pedag &amp; Tecnol Colombia UPTC, Tunja, Colombia; [Olmo, J. Chica; Guervos, R. Cano] Univ Granada, Granada, Spain; [Turizo, I. Tamaris] Univ Pedag &amp; Tecnol Colombia UPTC, Fac Ciencias Econ &amp; Adm, Tunja, Colombia</t>
  </si>
  <si>
    <t>Universidad Pedagogica y Tecnologica de Colombia (UPTC); University of Granada; Universidad Pedagogica y Tecnologica de Colombia (UPTC)</t>
  </si>
  <si>
    <t>Turizo, IT (corresponding author), Univ Pedag &amp; Tecnol Colombia UPTC, Fac Ciencias Econ &amp; Adm, Tunja, Colombia.</t>
  </si>
  <si>
    <t>ivantamaris@correo.ugr.es</t>
  </si>
  <si>
    <t>Allen R. G., 1998, FAO Irrigation and Drainage Paper; Sagner AT, 2011, TRIMEST ECON, V78, P813; ANSELIN L, 1992, REG SCI URBAN ECON, V22, P307, DOI 10.1016/0166-0462(92)90031-U; Anselin L, 1996, REG SCI URBAN ECON, V26, P77, DOI 10.1016/0166-0462(95)02111-6; Anselin L, 2007, SOC INDIC RES, V82, P287, DOI 10.1007/s11205-006-9034-x; Anselin L, 2012, INT J GEOGR INF SCI, V26, P2211, DOI 10.1080/13658816.2012.664276; Arraiz I, 2010, J REGIONAL SCI, V50, P592, DOI 10.1111/j.1467-9787.2009.00618.x; Baronoi A., 2018, INTRO EC ESPACIAL; Basu S, 1998, J REAL ESTATE FINANC, V17, P61, DOI 10.1023/A:1007703229507; Bowes DR, 2001, J URBAN ECON, V50, P1, DOI 10.1006/juec.2001.2214; CAN A, 1992, REG SCI URBAN ECON, V22, P453, DOI 10.1016/0166-0462(92)90039-4; CAN A, 1990, ECON GEOGR, V66, P254, DOI 10.2307/143400; Can A., 1998, J HOUSING RES, V9, P61, DOI [DOI 10.1080/10835547.1998.12091927, DOI 10.5555/JHOR.9.1.12Q4Q0868T211471]; Case B, 2004, J REAL ESTATE FINANC, V29, P167, DOI 10.1023/B:REAL.0000035309.60607.53; Chay KY, 2005, J POLIT ECON, V113, P376, DOI 10.1086/427462; Chica-Olmo J., 1994, TEORIA VARIABLES REG; Chica-Olmo J, 2007, J REAL ESTATE RES, V29, P91; Chica-Olmo J, 2019, GEOGR J, V185, P222, DOI 10.1111/geoj.12289; Chien LC, 2013, SPAT SPATIO-TEMPORAL, V5, P27, DOI 10.1016/j.sste.2013.03.002; CHINLOY PT, 1977, J URBAN ECON, V4, P469, DOI 10.1016/0094-1190(77)90007-9; Clapp JM, 2004, REAL ESTATE ECON, V32, P127, DOI 10.1111/j.1080-8620.2004.00086.x; Clif A., 1981, SPATIAL PROCESS MODE; Conroy SJ, 2011, J REAL ESTATE FINANC, V42, P211, DOI 10.1007/s11146-009-9195-x; Corrado L, 2012, J REGIONAL SCI, V52, P210, DOI 10.1111/j.1467-9787.2011.00726.x; Cruces G., 2008, R559 RES NETW; Dong XP, 2014, I SYMP CONSUM ELECTR; DUBIN RA, 1992, REG SCI URBAN ECON, V22, P433, DOI 10.1016/0166-0462(92)90038-3; Felus Y., 2001, THESIS OHIO U STATE; Fierro KP, 2009, ATLANTIC ECON J, V37, P159, DOI 10.1007/s11293-009-9174-x; Garcia CB, 2020, J APPL STAT, V47, P1990, DOI 10.1080/02664763.2019.1701638; Garza N, 2019, HABITAT INT, V87, P36, DOI 10.1016/j.habitatint.2019.04.001; Geng B, 2015, HABITAT INT, V49, P333, DOI 10.1016/j.habitatint.2015.06.005; GETIS A, 1995, PROG HUM GEOG, V19, P245, DOI 10.1177/030913259501900205; GOODMAN AC, 1978, J URBAN ECON, V5, P471, DOI 10.1016/0094-1190(78)90004-9; Goodman AC, 2003, J HOUS ECON, V12, P181, DOI 10.1016/S1051-1377(03)00031-7; Grobel S, 2018, J PROP RES, V35, P185, DOI 10.1080/09599916.2018.1510428; Kelejian HH, 2010, J GEOGR SYST, V12, P241, DOI 10.1007/s10109-010-0109-5; Kelejian HH, 1999, INT ECON REV, V40, P509, DOI 10.1111/1468-2354.00027; Kelejian HH, 1998, J REAL ESTATE FINANC, V17, P99, DOI 10.1023/A:1007707430416; Kennedy P, 1992, GUIDE ECONOMETRICS; Kilibarda M, 2014, J GEOPHYS RES-ATMOS, V119, P2294, DOI 10.1002/2013JD020803; Lesage JP, 2004, J REAL ESTATE FINANC, V29, P233, DOI 10.1023/B:REAL.0000035312.82241.e4; Li H, 2019, CITIES, V91, P165, DOI 10.1016/j.cities.2018.11.016; Li H, 2016, CITIES, V59, P113, DOI 10.1016/j.cities.2016.07.001; Li RYM, 2018, SUSTAINABILITY-BASEL, V10, DOI 10.3390/su10020341; Li Y., 2012, 6 INT ASS CHINA PLAN; Li Y, 2013, INT REV SPAT PLAN SU, V1, P29, DOI 10.14246/irspsd.1.4_29; MARK JH, 1980, LAND ECON, V56, P103, DOI 10.2307/3145833; Montero-Lorenzo JM, 2009, J GEOGR SYST, V11, P407, DOI 10.1007/s10109-009-0095-7; Morais M., 2015, DEMAND HOUSING URBAN; Munoz-Raskin R, 2010, TRANSPORT POLICY, V17, P72, DOI 10.1016/j.tranpol.2009.11.002; NELSON JP, 1978, J URBAN ECON, V5, P357, DOI 10.1016/0094-1190(78)90016-5; OLMO JC, 1995, URBAN STUD, V32, P1331, DOI 10.1080/00420989550012492; Pace RK, 1998, J REAL ESTATE FINANC, V17, P5, DOI 10.1023/A:1007783811760; Poeta S, 2019, REV ING CONSTR, V34, P215, DOI 10.4067/S0718-50732019000200215; Rehak S, 2019, J EUR REAL ESTATE RE, V12, P190, DOI 10.1108/JERER-10-2018-0045; Rodriguez DA, 2004, TRANSPORT REV, V24, P587, DOI 10.1080/0144164042000195081; ROSEN S, 1974, J POLIT ECON, V82, P34, DOI 10.1086/260169; Sah V, 2016, J REAL ESTATE FINANC, V53, P50, DOI 10.1007/s11146-015-9520-5; Simlai P, 2014, Q REV ECON FINANC, V54, P17, DOI 10.1016/j.qref.2013.07.001; Tiwari P, 1998, URBAN STUD, V35, P2111, DOI 10.1080/0042098984033; TOBLER WR, 1970, ECON GEOGR, V46, P234, DOI 10.2307/143141; Trojanek R, 2018, J HOUS BUILT ENVIRON, V33, P359, DOI 10.1007/s10901-017-9569-y; Urrea M., 2019, THESIS U EAFIT COLOM; D'Elia VV, 2020, RES TRANSP ECON, V80, DOI 10.1016/j.retrec.2020.100814; von Graevenitz K, 2015, LAND ECON, V91, P386, DOI 10.3368/le.91.2.386; Wen HZ, 2017, INT J STRATEG PROP M, V21, P15, DOI 10.3846/1648715X.2016.1247021; Xiao YX, 2017, ISPRS INT J GEO-INF, V6, DOI 10.3390/ijgi6110358; Yoo EH, 2009, J GEOGR SYST, V11, P381, DOI 10.1007/s10109-009-0090-z; Zambrano-Monserrate M, 2015, CUAD ECON-BOGOTA, V39, P12, DOI [10.1016/j.cesjef.2015.10.002, DOI 10.1016/J.CESJEF.2015.10.002]; Zhang L, 2019, INT J STRATEG PROP M, V23, P65, DOI 10.3846/ijspm.2019.6360; Zhu B, 2011, J REAL ESTATE FINANC, V42, P542, DOI 10.1007/s11146-009-9209-8</t>
  </si>
  <si>
    <t>PONTIFICIA UNIV CATOLICA CHILE, DEPT INGENIERIA &amp; GESTION CONSTRUCCION</t>
  </si>
  <si>
    <t>SANTIAGO</t>
  </si>
  <si>
    <t>AVDA VICUNA MACKENNA 4860, MACUL, CAMPUS SAN JOAQUIN, ED SAN AGUSTIN, PISO 3, CASILLA 306, CORREO 22, SANTIAGO, 00000, CHILE</t>
  </si>
  <si>
    <t>0716-2952</t>
  </si>
  <si>
    <t>0718-5073</t>
  </si>
  <si>
    <t>REV ING CONSTR</t>
  </si>
  <si>
    <t>Rev. Ing. Constr.</t>
  </si>
  <si>
    <t>DEC</t>
  </si>
  <si>
    <t>10.7764/RIC.00044.21</t>
  </si>
  <si>
    <t>Construction &amp; Building Technology</t>
  </si>
  <si>
    <t>8P3TT</t>
  </si>
  <si>
    <t>Green Submitted, hybrid, Green Published</t>
  </si>
  <si>
    <t>WOS:000926450400009</t>
  </si>
  <si>
    <t>Garzon-Ospina, D; Buitrago, SP</t>
  </si>
  <si>
    <t>Garzon-Ospina, Diego; Buitrago, Sindy P.</t>
  </si>
  <si>
    <t>Immunoglobulin heavy constant gamma gene evolution is modulated by both the divergent and birth-and-death evolutionary models</t>
  </si>
  <si>
    <t>PRIMATES</t>
  </si>
  <si>
    <t>IgG; IGHG; Primates; Multigene family; Birth-death evolutionary model; Divergent evolutionary model</t>
  </si>
  <si>
    <t>IGG SUBCLASSES; NONHUMAN-PRIMATES; SELECTION; DUPLICATION; ANTIBODY; FAMILY; RECOMBINATION; SIMULATION; ALIGNMENT; ACCURACY</t>
  </si>
  <si>
    <t>Immunoglobulin G (IgG) is one of the five antibody classes produced in mammals as part of the humoral responses accountable for protecting the organisms from infection. Its antibody heavy chain constant region is encoded by the Ig heavy-chain gamma gene (IGHG). In humans, there are four IGHG genes which encode the four subclasses, each with a specialized effector function. Although four subclasses of IgG proteins have also been reported in macaques, this does not appear to be the rule for all primates. In Platyrrhini, IgG has been stated to be encoded by a single-copy gene. To date, it remains unknown how the IGHG has expanded or contracted in the primate order; consequently, we have analyzed data from 38 primate genome sequences to identify IGHG genes and describe the evolution of IGHG genes in primate order. IGHG belongs to a multigene family that evolves by the birth-death evolutionary model in primates. Whereas Strepsirrhini and Platyrrhini have a single-copy gene, in Catarrhini, it has expanded to several paralogs in their genomes; some deleted and others pseudogenized. Furthermore, episodic positive selection may have promoted a species-specific IgG effector function. We propose that IgG evolved to reach an optimal number of copies per genome to adapt their humoral immune responses to different environmental conditions. This study has implications for biomedical trials using non-human primates.</t>
  </si>
  <si>
    <t>[Garzon-Ospina, Diego; Buitrago, Sindy P.] Fdn Scient, PGAME Populat Genet &amp; Mol Evolut, Tunja, Boyaca, Colombia; [Garzon-Ospina, Diego; Buitrago, Sindy P.] Univ Pedag &amp; Tecnol Colombia UPTC, Sch Biol Sci, GEBIMOL, Tunja, Boyaca, Colombia; [Garzon-Ospina, Diego; Buitrago, Sindy P.] Univ Pedag &amp; Tecnol Colombia UPTC, Sch Biol Sci, GEO, Tunja, Boyaca, Colombia</t>
  </si>
  <si>
    <t>Garzon-Ospina, D; Buitrago, SP (corresponding author), Fdn Scient, PGAME Populat Genet &amp; Mol Evolut, Tunja, Boyaca, Colombia.;Garzon-Ospina, D; Buitrago, SP (corresponding author), Univ Pedag &amp; Tecnol Colombia UPTC, Sch Biol Sci, GEBIMOL, Tunja, Boyaca, Colombia.;Garzon-Ospina, D; Buitrago, SP (corresponding author), Univ Pedag &amp; Tecnol Colombia UPTC, Sch Biol Sci, GEO, Tunja, Boyaca, Colombia.</t>
  </si>
  <si>
    <t>degarzon@gmail.com; biopao.k18@gmail.com</t>
  </si>
  <si>
    <t>Garzon-Ospina, Diego/L-8585-2016</t>
  </si>
  <si>
    <t>Garzon-Ospina, Diego/0000-0003-3829-6719</t>
  </si>
  <si>
    <t>Fundacion para la Promocion de la Investigacion y la Tecnologia [202111]</t>
  </si>
  <si>
    <t>Fundacion para la Promocion de la Investigacion y la Tecnologia</t>
  </si>
  <si>
    <t>This work was supported by the Fundacion para la Promocion de la Investigacion y la Tecnologia [cooperation agreement #202111, 2021].</t>
  </si>
  <si>
    <t>Abascal F, 2010, NUCLEIC ACIDS RES, V38, pW7, DOI 10.1093/nar/gkq291; Anisimova M, 2003, GENETICS, V164, P1229; Arenas M., 2014, NATURAL SELECTION ME; Arenas M, 2010, GENETICS, V184, P429, DOI 10.1534/genetics.109.109736; Asada Y, 2002, PRIMATES, V43, P343, DOI 10.1007/BF02629608; Birdsall HH., 2015, MANDELL DOUGLAS BENN; Brusco A., 1998, Human Evolution, V13, P49, DOI 10.1007/BF02439368; Brusco A, 1997, HUM GENET, V100, P84, DOI 10.1007/s004390050470; Crowley AR, 2019, FRONT IMMUNOL, V10, DOI 10.3389/fimmu.2019.00697; Darriba D, 2011, BIOINFORMATICS, V27, P1164, DOI 10.1093/bioinformatics/btr088; Drummond AJ, 2007, BMC EVOL BIOL, V7, DOI 10.1186/1471-2148-7-214; Edgar RC, 2004, NUCLEIC ACIDS RES, V32, P1792, DOI 10.1093/nar/gkh340; El-Gebali S, 2019, NUCLEIC ACIDS RES, V47, pD427, DOI 10.1093/nar/gky995; ESTEVES MB, 1972, IMMUNOLOGY, V23, P137; Fay JC, 2003, ANNU REV GENOM HUM G, V4, P213, DOI 10.1146/annurev.genom.4.020303.162528; FLANAGAN JG, 1982, NATURE, V300, P709, DOI 10.1038/300709a0; Garzon-Ospina D, 2020, IMMUNOGENETICS, V72, P165, DOI 10.1007/s00251-019-01151-8; Garzon-Ospina D, 2010, MOL PHYLOGENET EVOL, V55, P399, DOI 10.1016/j.ympev.2010.02.017; Gu X, 2003, GENETICA, V118, P133, DOI 10.1023/A:1024197424306; HOOD JM, 1980, J MOL EVOL, V15, P181, DOI 10.1007/BF01732947; Huelsenbeck JP, 2001, SCIENCE, V294, P2310, DOI 10.1126/science.1065889; HUGHES AL, 1990, MOL BIOL EVOL, V7, P491; Idusogie EE, 2001, J IMMUNOL, V166, P2571, DOI 10.4049/jimmunol.166.4.2571; Irani V, 2015, MOL IMMUNOL, V67, P171, DOI 10.1016/j.molimm.2015.03.255; Jacobsen FW, 2011, J IMMUNOL, V186, P341, DOI 10.4049/jimmunol.1001685; Kondrashov FA, 2006, J THEOR BIOL, V239, P141, DOI 10.1016/j.jtbi.2005.08.033; Kondrashov FA, 2002, GENOME BIOL, V3, DOI 10.1186/gb-2002-3-2-research0008; Pond SLK, 2006, MOL BIOL EVOL, V23, P1891, DOI 10.1093/molbev/msl051; Krakauer DC, 1999, SEMIN CELL DEV BIOL, V10, P555, DOI 10.1006/scdb.1999.0337; Kumar S, 2017, MOL BIOL EVOL, V34, P1812, DOI 10.1093/molbev/msx116; Lynch M, 2000, SCIENCE, V290, P1151, DOI 10.1126/science.290.5494.1151; Messler W, 1997, NATURE, V385, P151, DOI 10.1038/385151a0; Miller M. A., 2010, GAT COMP ENV WORKSH, DOI [DOI 10.1109/GCE.2010.5676129, 10.1109/GCE.2010.5676129]; Miller MA, 2015, EVOL BIOINFORM, V11, P43, DOI 10.4137/EBO.S21501; Mishra R, 2019, CELL IMMUNOL, V341, DOI 10.1016/j.cellimm.2019.103927; Murrell B, 2013, MOL BIOL EVOL, V30, P1196, DOI 10.1093/molbev/mst030; Murrell B, 2012, PLOS GENET, V8, DOI 10.1371/journal.pgen.1002764; Napodano C, 2021, IMMUNOL INVEST, V50, P427, DOI 10.1080/08820139.2020.1775643; Nei M, 2005, ANNU REV GENET, V39, P121, DOI 10.1146/annurev.genet.39.073003.112240; Nei M, 1997, P NATL ACAD SCI USA, V94, P7799, DOI 10.1073/pnas.94.15.7799; Newcomb RD, 1997, P NATL ACAD SCI USA, V94, P7464, DOI 10.1073/pnas.94.14.7464; Nguyen DC, 2014, IMMUNOGENETICS, V66, P361, DOI 10.1007/s00251-014-0775-4; Nicholas K.B., 1997, EMBNEW NEWS, V4, P14, DOI DOI 10.11118/ACTAUN201361041061; Nimmerjahn F, 2005, SCIENCE, V310, P1510, DOI 10.1126/science.1118948; Olivieri DN, 2018, MOL IMMUNOL, V101, P353, DOI 10.1016/j.molimm.2018.07.020; OTA T, 1994, MOL BIOL EVOL, V11, P469; Parra-Montano JD, 2022, IMMUNOGENETICS, V74, P507, DOI 10.1007/s00251-022-01266-5; PERUTZ MF, 1984, ADV PROTEIN CHEM, V36, P213, DOI 10.1016/S0065-3233(08)60298-3; Pond SLK, 2005, MOL BIOL EVOL, V22, P1208, DOI 10.1093/molbev/msi105; Posada D, 2008, MOL BIOL EVOL, V25, P1253, DOI 10.1093/molbev/msn083; Rambaut A, 2018, SYST BIOL, V67, P901, DOI 10.1093/sysbio/syy032; Ramesh A, 2017, FRONT IMMUNOL, V8, DOI 10.3389/fimmu.2017.01407; Schroeder HW, 2010, J ALLERGY CLIN IMMUN, V125, pS41, DOI 10.1016/j.jaci.2009.09.046; SCHUR PH, 1987, ANN ALLERGY, V58, P89; Senger K, 2015, RESULTS PROBL CELL D, V57, P295, DOI 10.1007/978-3-319-20819-0_13; Sjostrand J, 2014, SYST BIOL, V63, P409, DOI 10.1093/sysbio/syu007; Sjostrand J, 2012, BIOINFORMATICS, V28, P2994, DOI 10.1093/bioinformatics/bts548; Smith MD, 2015, MOL BIOL EVOL, V32, P1342, DOI 10.1093/molbev/msv022; Solovyev V, 2008, HDB STAT GENETICS, P97159, DOI [10.1002/9780470061619.ch4, DOI 10.1002/9780470061619.CH4]; STEPHENS SG, 1951, ADV GENET, V4, P247, DOI 10.1016/S0065-2660(08)60237-0; Su C, 2001, MOL BIOL EVOL, V18, P503, DOI 10.1093/oxfordjournals.molbev.a003829; Suchard MA, 2018, VIRUS EVOL, V4, DOI 10.1093/ve/vey016; Sun Y, 2012, J ANIM SCI BIOTECHNO, V3, DOI 10.1186/2049-1891-3-18; TAKAHASHI N, 1982, CELL, V29, P671, DOI 10.1016/0092-8674(82)90183-0; Tamura K, 2021, MOL BIOL EVOL, V38, P3022, DOI 10.1093/molbev/msab120; Tamura K, 2018, MOL BIOL EVOL, V35, P1770, DOI 10.1093/molbev/msy044; Tamura K, 2012, P NATL ACAD SCI USA, V109, P19333, DOI 10.1073/pnas.1213199109; Tao QQ, 2020, MOL BIOL EVOL, V37, P280, DOI 10.1093/molbev/msz236; Vidarsson G, 2014, FRONT IMMUNOL, V5, DOI 10.3389/fimmu.2014.00520; Warncke M, 2012, J IMMUNOL, V188, P4405, DOI 10.4049/jimmunol.1200090; Weaver S, 2018, MOL BIOL EVOL, V35, P773, DOI 10.1093/molbev/msx335; Wertheim JO, 2015, MOL BIOL EVOL, V32, P820, DOI 10.1093/molbev/msu400; Woof JM, 2004, NAT REV IMMUNOL, V4, P89, DOI 10.1038/nri1266; Zhang JZ, 2003, TRENDS ECOL EVOL, V18, P292, DOI 10.1016/S0169-5347(03)00033-8; Zhang JZ, 1998, P NATL ACAD SCI USA, V95, P3708, DOI 10.1073/pnas.95.7.3708</t>
  </si>
  <si>
    <t>SPRINGER JAPAN KK</t>
  </si>
  <si>
    <t>TOKYO</t>
  </si>
  <si>
    <t>SHIROYAMA TRUST TOWER 5F, 4-3-1 TORANOMON, MINATO-KU, TOKYO, 105-6005, JAPAN</t>
  </si>
  <si>
    <t>0032-8332</t>
  </si>
  <si>
    <t>1610-7365</t>
  </si>
  <si>
    <t>Primates</t>
  </si>
  <si>
    <t>10.1007/s10329-022-01019-8</t>
  </si>
  <si>
    <t>Zoology</t>
  </si>
  <si>
    <t>6H0IU</t>
  </si>
  <si>
    <t>WOS:000854422800001</t>
  </si>
  <si>
    <t>Morillo-Coronado, AC; Martinez-Anzola, HG; Velandia-Diaz, JD; Morillo-Coronado, Y</t>
  </si>
  <si>
    <t>Cruz Morillo-Coronado, Ana; Giovanni Martinez-Anzola, Herlyn; David Velandia-Diaz, Julian; Morillo-Coronado, Yacenia</t>
  </si>
  <si>
    <t>Effects of static magnetic fields on onion (Allium cepa L.) seed germination and early seedling growth</t>
  </si>
  <si>
    <t>REVISTA DE CIENCIAS AGRICOLAS</t>
  </si>
  <si>
    <t>Development; exposure time; intensity; liliaceae; vigor</t>
  </si>
  <si>
    <t>PRETREATMENT; PARAMETERS; STRESS</t>
  </si>
  <si>
    <t>In vegetables of economic importance such as onion, one of the main limitations in their production is that their seeds have a relatively short storage life, so their viability decreases rapidly. Research has been carried out on onions to improve seed germination and to extend its use for sowing. The magnetic field is considered a simple, inexpensive, and non-invasive physical method to stimulate the germination process, compared to traditional chemical methods. In this sense the objective of this research were to evaluate the effects of static magnetic fields on Yellow Granex PRR hybrid onion (Allium cepa L.) seed germination, and early growth in the laboratory conditions. Seeds were exposed to 10 and 21mT, (mT=militesla), static magnetic fields induced by magnets for 0.5, 3, 6, 12 and 24h; each treatment had four repetitions. The results showed that the low intensity stationary magnetic fields (10 and 21mT) did not cause significant differences in germination, dry weight, or fresh weight, but for the seedling length. It is necessary to increase the intensity of the magnetic fields and the exposure time to achieve important physiological changes that positively affect the germination and growth of onion seeds, and thus contribute to the improvement of their yield and productivity. The use of physical methods such as magnetism can stimulate different physiological processes in plants and thus contribute to the improvement of characteristics of agronomic interest.</t>
  </si>
  <si>
    <t>[Cruz Morillo-Coronado, Ana] Univ Pedag &amp; Tecnol Colombia UPTC, Tunja, Colombia; [Giovanni Martinez-Anzola, Herlyn; David Velandia-Diaz, Julian] Univ Pedag &amp; Tecnol Colombia, Tunja, Colombia; [Morillo-Coronado, Yacenia] Corp Colombiana Invest AGROSAVIA, Palmira, Colombia</t>
  </si>
  <si>
    <t>Morillo-Coronado, AC (corresponding author), Univ Pedag &amp; Tecnol Colombia UPTC, Tunja, Colombia.</t>
  </si>
  <si>
    <t>ana.morillo@uptc.edu.co; giovannimartinezing@gmail.com; julian.velandia@uptc.edu.co; ymorillo@agrosavia.co</t>
  </si>
  <si>
    <t>Morillo Coronado, Ana Cruz/0000-0003-3125-0697</t>
  </si>
  <si>
    <t>ABDULBAK.AA, 1973, CROP SCI, V13, P630, DOI 10.2135/cropsci1973.0011183X001300060013x; Acu?a R.F., 2019, AGRO SUR, V47, P9, DOI [10.4206/agrosur.2019.v47n1-04, DOI 10.4206/AGROSUR.2019.V47N1-04]; Anand A, 2012, INDIAN J BIOCHEM BIO, V49, P63; Araujo SD, 2016, FRONT PLANT SCI, V7, DOI 10.3389/fpls.2016.00646; Baghel L, 2018, PHOTOSYNTHETICA, V56, P718, DOI 10.1007/s11099-017-0722-3; Balakhnina T, 2015, ACTA PHYSIOL PLANT, V37, DOI 10.1007/s11738-015-1802-2; Bhardwaj J, 2012, PLANT PHYSIOL BIOCH, V57, P67, DOI 10.1016/j.plaphy.2012.05.008; Bose B., 2018, ADV SEED PRIMING, V1, P33; Cakmak T, 2010, BIOELECTROMAGNETICS, V31, P120, DOI 10.1002/bem.20537; Cwintal M, 2013, INT AGROPHYS, V27, P391, DOI 10.2478/intag-2013-0009; De Micco V, 2014, SCI WORLD J, DOI 10.1155/2014/428141; Efthimiadou A, 2014, SCI WORLD J, DOI 10.1155/2014/369745; El Sagan M.A.M., 2015, J AGR VET SCI, V8, P2319, DOI DOI 10.9790/2380-08924350; El-Kassaby YA, 2008, FOREST SCI, V54, P220; Hozayn M., 2015, African Journal of Agricultural Research, V10, P849; Hozayn M, 2014, SCI PAP-SER A-AGRON, V57, P197; Karimi S., 2017, Acta Agriculturae Slovenica, V109, P89, DOI 10.14720/aas.2017.109.1.09; Khan F., 2017, SKUAST J RES, V19, P12; Kireva R., 2018, MECHANIZATION AGR CO, V2, P68; Krawiec M, 2015, ACTA SCI POL-HORTORU, V14, P145; Kubisz L, 2012, ACTA PHYS POL A, V121, pA49; Lorigooini Z, 2017, J ESSENT OIL BEAR PL, V20, P1, DOI [10.1080/0972060X.2016.1264277, 10.1080/0972060x.2016.1264277]; Macovei A, 2014, BIOMED RES INT, V2014, DOI 10.1155/2014/676934; Maffei ME, 2014, FRONT PLANT SCI, V5, DOI 10.3389/fpls.2014.00445; Martinez E., 2017, INT J ENV AGR BIOTEC, V2, P375, DOI [10.22161/ijeab/2.1.47, DOI 10.22161/IJEAB/2.1.47]; Matwijczuk A, 2012, INT AGROPHYS, V26, P271, DOI 10.2478/v10247-012-0039-1; Mousavizadeh S. J., 2013, International Journal of Biosciences (IJB), V3, P199; Ouhibi C, 2014, PLANT PHYSIOL BIOCH, V83, P126, DOI 10.1016/j.plaphy.2014.07.019; Prazeres CS, 2017, SEMIN-CIENC AGRAR, V38, P1179, DOI 10.5433/1679-0359.2017v38n3p1179; Radhakrishnan R, 2018, PHYSIOL MOL BIOL PLA, V24, P343, DOI 10.1007/s12298-018-0505-8; Samani MA, 2013, LIFE SCI J, V10, P323; Shashurin MM, 2014, RUSS J PLANT PHYSL+, V61, P484, DOI 10.1134/S1021443714040177; Tkalec M, 2009, MUTAT RES-GEN TOX EN, V672, P76, DOI 10.1016/j.mrgentox.2008.09.022; Zhao YL, 2018, ENVIRON EXP BOT, V150, P260, DOI 10.1016/j.envexpbot.2018.04.002; Zlotopolski V., 2017, INT J APPL AGR SCI, V3, P117, DOI [10.11648/j.ijaas.20170305.13, DOI 10.11648/J.IJAAS.20170305.13]</t>
  </si>
  <si>
    <t>UNIV NARINO</t>
  </si>
  <si>
    <t>NARINO</t>
  </si>
  <si>
    <t>CIUDD UNIV TOROBAJO, CALLE 18 CR 50, SAN JUAN PASTO, NARINO, 00000, COLOMBIA</t>
  </si>
  <si>
    <t>0120-0135</t>
  </si>
  <si>
    <t>2256-2273</t>
  </si>
  <si>
    <t>REV CIENC AGRIC</t>
  </si>
  <si>
    <t>Rev. Cienc. Agric.</t>
  </si>
  <si>
    <t>10.22267/rcia.223901.169</t>
  </si>
  <si>
    <t>4Y1XF</t>
  </si>
  <si>
    <t>WOS:000861324500003</t>
  </si>
  <si>
    <t>Parra-Montano, JD; Mateus-Rincon, KC; Aranguren-Borras, JV; Medrano-Robayo, M; Figueredo-Lopez, A; Gonzalez-Amaya, LM; Vega-Valderrama, JD; Gonzalez-Bautista, LF; Becerra-Embus, AL; Aponte-Rubio, Y; Alfonso-Gonzalez, H; Buitrago, SP; Garzon-Ospina, D</t>
  </si>
  <si>
    <t>Parra-Montano, Jehymin D.; Mateus-Rincon, Kimberly C.; Aranguren-Borras, Juliana, V; Medrano-Robayo, Mary; Figueredo-Lopez, Alejandro; Gonzalez-Amaya, Laura M.; Vega-Valderrama, Juan D.; Gonzalez-Bautista, Luisa F.; Becerra-Embus, Andrea L.; Aponte-Rubio, Yury; Alfonso-Gonzalez, Heliairis; Buitrago, Sindy P.; Garzon-Ospina, Diego</t>
  </si>
  <si>
    <t>IgG subclasses in New World Monkeys: an issue for debate?</t>
  </si>
  <si>
    <t>IMMUNOGENETICS</t>
  </si>
  <si>
    <t>Immunoglobulin G; New world monkeys; IGHG; IgG subclasses</t>
  </si>
  <si>
    <t>EVOLUTION; GENES</t>
  </si>
  <si>
    <t>Immunoglobulin G (IgG) is an essential antibody in adaptive immunity; a differential expansion of the gene encoding the Fc region (IGHG) of this antibody has been observed in mammals. Like humans, animal biomedical models, such as mice and macaques, have four functional genes encoding 4 IgG subclasses; however, the data for New World monkeys (NWM) seems contentious. Some publications argue for the existence of a single-copy gene for IgG Fc; however, a recent paper has suggested the presence of IgG subclasses in some NWM species. Here, we evaluated the genetic distances and phylogenetic relationships in NWM to assess the presence of IgG subclasses using the sequences of IGHG genes from 13 NWM species recovered from genomic data and lab PCR and cloning-based procedures available in GenBank. The results show that several sequences do not cluster into the expected taxon, probably due to cross-contamination during laboratory procedures, and consequently, they appear to be wrongly assigned. Additionally, several sequences reported as subclasses were shown to be 100% identical in the CH domains. The data presented here suggests that there is not enough evidence to establish the presence of IgG subclasses in NWM.</t>
  </si>
  <si>
    <t>[Parra-Montano, Jehymin D.; Mateus-Rincon, Kimberly C.; Aranguren-Borras, Juliana, V; Medrano-Robayo, Mary; Figueredo-Lopez, Alejandro; Gonzalez-Amaya, Laura M.; Vega-Valderrama, Juan D.; Gonzalez-Bautista, Luisa F.; Becerra-Embus, Andrea L.; Aponte-Rubio, Yury; Alfonso-Gonzalez, Heliairis] Univ Pedag &amp; Tecnol Colombia UPTC, Sch Biol Sci, Biol Program, Lab Genet Course 1, Tunja, Boyaca, Colombia; [Buitrago, Sindy P.; Garzon-Ospina, Diego] Fdn Scient, PGAME Populat Genet &amp; Mol Evolut, Tunja, Boyaca, Colombia; [Buitrago, Sindy P.; Garzon-Ospina, Diego] Univ Pedag &amp; Tecnol Colombia UPTC, Sch Biol Sci, GEBIMOL, Tunja, Boyaca, Colombia; [Buitrago, Sindy P.; Garzon-Ospina, Diego] Univ Pedag &amp; Tecnol Colombia UPTC, Sch Biol Sci, GEO, Tunja, Boyaca, Colombia</t>
  </si>
  <si>
    <t>Garzon-Ospina, D (corresponding author), Fdn Scient, PGAME Populat Genet &amp; Mol Evolut, Tunja, Boyaca, Colombia.;Garzon-Ospina, D (corresponding author), Univ Pedag &amp; Tecnol Colombia UPTC, Sch Biol Sci, GEBIMOL, Tunja, Boyaca, Colombia.;Garzon-Ospina, D (corresponding author), Univ Pedag &amp; Tecnol Colombia UPTC, Sch Biol Sci, GEO, Tunja, Boyaca, Colombia.</t>
  </si>
  <si>
    <t>JehyminParraaus@gmail.com; kimberlycamateus@gmail.com; juliw62001@gmail.com; alejitamar2421@gmail.com; alejandrohide@gmail.com; milenagonzalez595@gmail.com; JuanD.VValderrama@gmail.com; luisa.gb1002@gmail.com; lisethbe07@gmail.com; yumyaru5@gmail.com; 0721heli@gmail.com; biopao.k18@gmail.com; degarzon@gmail.com</t>
  </si>
  <si>
    <t>Garzón-Ospina, Diego/AFS-7704-2022; Garzon-Ospina, Diego/L-8585-2016</t>
  </si>
  <si>
    <t>Gonzalez Amaya, Laura Milena/0009-0006-7790-5192; Garzon-Ospina, Diego/0000-0003-3829-6719; Alfonso Gonzalez, Heliairis/0000-0002-9086-9783</t>
  </si>
  <si>
    <t>Bournazos S, 2017, INT IMMUNOL, V29, P303, DOI 10.1093/intimm/dxx025; Brusco A., 1998, Human Evolution, V13, P49, DOI 10.1007/BF02439368; CAPRA JD, 1989, J BIOL CHEM, V264, P12745; FAHEY JL, 1964, J EXP MED, V120, P223, DOI 10.1084/jem.120.2.223; Garzn-Ospina D, 2021, BIORXIV; Garzon-Ospina D, 2020, IMMUNOGENETICS, V72, P165, DOI 10.1007/s00251-019-01151-8; GREY HM, 1971, J EXP MED, V133, P289, DOI 10.1084/jem.133.2.289; Huelsenbeck JP, 2001, SCIENCE, V294, P2310, DOI 10.1126/science.1065889; Kondrashov FA, 2006, J THEOR BIOL, V239, P141, DOI 10.1016/j.jtbi.2005.08.033; Krakauer DC, 1999, SEMIN CELL DEV BIOL, V10, P555, DOI 10.1006/scdb.1999.0337; Kumar S, 2017, MOL BIOL EVOL, V34, P1812, DOI 10.1093/molbev/msx116; Lynch M, 2000, SCIENCE, V290, P1151, DOI 10.1126/science.290.5494.1151; Nguyen DC, 2014, IMMUNOGENETICS, V66, P361, DOI 10.1007/s00251-014-0775-4; Olivieri DN, 2018, MOL IMMUNOL, V101, P353, DOI 10.1016/j.molimm.2018.07.020; Posada D, 2008, MOL BIOL EVOL, V25, P1253, DOI 10.1093/molbev/msn083; Ramesh A, 2017, FRONT IMMUNOL, V8, DOI 10.3389/fimmu.2017.01407; Schroeder HW, 2010, J ALLERGY CLIN IMMUN, V125, pS41, DOI 10.1016/j.jaci.2009.09.046; Sun Y, 2012, J ANIM SCI BIOTECHNO, V3, DOI 10.1186/2049-1891-3-18; Tamura K, 2021, MOL BIOL EVOL, V38, P3022, DOI 10.1093/molbev/msab120; Trifinopoulos J, 2016, NUCLEIC ACIDS RES, V44, pW232, DOI 10.1093/nar/gkw256; Vidarsson G, 2014, FRONT IMMUNOL, V5, DOI 10.3389/fimmu.2014.00520; Yepes-Perez Y, 2021, MOL IMMUNOL, V139, P23, DOI 10.1016/j.molimm.2021.08.012</t>
  </si>
  <si>
    <t>0093-7711</t>
  </si>
  <si>
    <t>1432-1211</t>
  </si>
  <si>
    <t>Immunogenetics</t>
  </si>
  <si>
    <t>OCT</t>
  </si>
  <si>
    <t>10.1007/s00251-022-01266-5</t>
  </si>
  <si>
    <t>Genetics &amp; Heredity; Immunology</t>
  </si>
  <si>
    <t>4M0VS</t>
  </si>
  <si>
    <t>WOS:000805543500001</t>
  </si>
  <si>
    <t>Acuna-Rodriguez, OY; Acuna-Rodriguez, BO; Albesiano-Fernandez, LE; Pinzon-Camargo, LC; Cobo-Mejia, EA</t>
  </si>
  <si>
    <t>Yanet Acuna-Rodriguez, Olga; Ofelia Acuna-Rodriguez, Blanca; Enrique Albesiano-Fernandez, Luis; Carolina Pinzon-Camargo, Libia; Andrea Cobo-Mejia, Elisa</t>
  </si>
  <si>
    <t>Identity and peasant family around cheese production in the municipality of Paipa (Colombia)</t>
  </si>
  <si>
    <t>MUNDO AGRARIO</t>
  </si>
  <si>
    <t>Identity; Peasant Families; Production; Market; Family Farming</t>
  </si>
  <si>
    <t>The text investigates the identity of peasant families in the rural area of the Municipality of Paipa (Colombia), who, in addition to producing cheese, develop other types of activities: livestock, agricultural, elaboration of doughs, cultivation of fruit trees. From his narratives and stories, scenarios are appreciated referring to the experience lived both in the territory, in his family environment, in the products, in the market and in his habitat. The identity process was analyzed from two perspectives: the peasant family as a tradition and agricultural activity as a way of life and sustenance. The family is the first structure of socialization and constitutes the primary group where the individual interacts from birth; in this context he acquires experiences and values that are important for life. Agricultural activities, in addition to being a learning, provide sustenance to the peasant family and develop values of solidarity, acquire knowledge related to agricultural and livestock production and its relationship with the market, as survival practices.</t>
  </si>
  <si>
    <t>[Yanet Acuna-Rodriguez, Olga; Ofelia Acuna-Rodriguez, Blanca; Carolina Pinzon-Camargo, Libia] Univ Pedag &amp; Tecnol Colombia UPTC, Tunja, Colombia; [Enrique Albesiano-Fernandez, Luis; Andrea Cobo-Mejia, Elisa] Univ Boyaca, Boyaca, Colombia</t>
  </si>
  <si>
    <t>Acuna-Rodriguez, OY (corresponding author), Univ Pedag &amp; Tecnol Colombia UPTC, Tunja, Colombia.</t>
  </si>
  <si>
    <t>olga.acuna@uptc.edu.co; blanca.acuna@uptc.edu.co; lealbesiano@uniboyaca.edu.co; libia.pinzon@uptc.edu.co; eacobo@uniboyaca.edu.com</t>
  </si>
  <si>
    <t>[Anonymous], 1975, REV CUADERNOS POLITI, P15; Berger Peter, 2003, CONSTRUCCION SOCIAL; Bloch M., 1999, TIERRA CAMPESINO AGR; Breton Victor., 1993, NOTICIARIO HIST AGRA, V5, P127; Canaria Rodriguez A. R., 1995, DIAGNOSTICO OFERTA C; Carmagnani M., 2008, REV LATINOAMERICANA, V39, P12; Castell Manuel., 1999, INTERNET SOC RED LEC; Departamento Nacional de Estadistica-DANE, 2018, CENS POBL PUBL; Dominguez Martin R., 1992, HIST AGRARIA REV AGR, V3, P91; Fajardo Montaa D., 2018, THESIS U EXTERNA COL; Fals Borda O., 2017, CAMPESINOS ANDES OTR; GIMENEZ G., 2005, TRAYECTORIAS, V7, P8; Gimenez G., 2005, CULTURA COMO IDENTID; Gimenez G, CULTURA COMO IDENTID; Gonzalez Vazquez A., 2013, PAPERS, V98, P498; Grupo Investigador, 2019, ENTR FANN CARD; Grupo Investigador, 2019, ENTR LEID CIP LUZ HE; Grupo Investigador, 2019, ENTR BLANC OCH GOM; Grupo Investigador, ENTR MAR HEL MONR AL; Grupo Investigador, 2019, ENTR PEDR ANT FONS L; Grupo Investigador, 2019, ENTR JOS AL CIP VER; Grupo Investigador, 2019, ENTR ROS HEL; Grupo Investigador, ENTR MAR OL COY; Grupo Investigador, 2017, ENTR LIL ROJ; Grupo Investigador, 2021, ENTR LUZ PAT VASQ; Grupo Investigador, 2019, DIARIO DE CAMPO; Gutierrez de Pineda V., 1968, FAMILIA Y CULTURA CO; Hamui Sutton Liz, 2011, Cuicuilco, V18, P51; Hernandez-Sampieri R., 2014, METODOLOGIA INVESTIG; de Hoyo M., 2013, Rev Andal Med Deporte, V6, P30, DOI 10.1016/S1888-7546(13)70032-7; Londono Fernandez J., 2011, RESOLUCION NO 70802; Molano O. L., 2007, OPERA, V7, P69; Hernandez GO, 2016, REV INFANC ADOLESC, P108, DOI 10.4995/reinad.2016.5827; Perez C., 2004, NOMADAS COL, V20, P180; Salcedo S., 2014, CONCEPTO AGR FAMILIA; SANTOS M., 2000, B ESTUDIOS GEOGRAFIC, V96, P87; Schejtman A., 1980, CEPAL REV; Shanin T., 1979, CAMPESINOS SOCIEDADE; Tamagno Lía Nora, 2018, Mundo agrar., V19, p100.e1, DOI 10.24215/15155994e100; van der Ploeg J. D., 2013, LEISA REV AGROECOLOG, V29, P4; Vazquez-Garcia A, 2013, AGRIC SOC DESARRO, V10, P1; Wolf E., 1991, LUCHAS CAMPESINAS SI; Yin R, 2003, APLICATIONS CASE STU; Yin R.K., 2003, CASE STUDY RES DESIG, P19</t>
  </si>
  <si>
    <t>UNIV NACL LA PLATA, FAC HUMANIDADES &amp; CIENCIAS EDUCACION</t>
  </si>
  <si>
    <t>BUENOS AIRES</t>
  </si>
  <si>
    <t>CALLE 48 ENTRE 6 &amp; 7, 1ER SUBSUELO, L APLATA, BUENOS AIRES, 1900, ARGENTINA</t>
  </si>
  <si>
    <t>1515-5994</t>
  </si>
  <si>
    <t>MUNDO AGRAR</t>
  </si>
  <si>
    <t>MUNDO AGRAR.</t>
  </si>
  <si>
    <t>DEC-MAR</t>
  </si>
  <si>
    <t>e177</t>
  </si>
  <si>
    <t>10.24215/15155994e177</t>
  </si>
  <si>
    <t>Sociology</t>
  </si>
  <si>
    <t>1K7AV</t>
  </si>
  <si>
    <t>WOS:000798750000005</t>
  </si>
  <si>
    <t>Garcia-Caceres, RG; Garcia-Castiblanco, CP</t>
  </si>
  <si>
    <t>Garcia-Caceres, Rafael Guillermo; Garcia-Castiblanco, Claudia Paola</t>
  </si>
  <si>
    <t>Political risk: Interpreting the International context.</t>
  </si>
  <si>
    <t>International investment; political risk; International political economy; SMAA</t>
  </si>
  <si>
    <t>FOREIGN DIRECT-INVESTMENT</t>
  </si>
  <si>
    <t>Introduction: Since the beginning of the economic opening processes in the 1990s, investments have increased (FDI) worldwide. However, not all countries are proposed as ideal destinations for recipients of FDI, they must have an attractive economic, political, and social landscape, which is studied in this work.Objective: This research has the objective of studying the influence that political risk may have on the decision-making on the subject of FDI by entrepreneurs, in particular, ColombiansMethodology: A series of decision criteria is proposed from conceptual areas where the inversion problem has been analyzed. A scale of value has been generated for each criterion, which can be studied as means of stochastic multicriteria acceptability analysis. Results: The analysis results point to the United States as the best destination for Colombian investment, followed by Brazil, the United Kingdom, and Chile, while Panama, Spain, and Mexico are not favored by any weighting.Conclusions: This work might be helpful in decision-making processes intended to reduce the uncertainty that is proper of the foreign investment environment.</t>
  </si>
  <si>
    <t>[Garcia-Caceres, Rafael Guillermo] Univ Pedag &amp; Tecnol Colombia UPTC, Sogamoso, Colombia; [Garcia-Castiblanco, Claudia Paola] Univ Agustiniana, Bogota, Colombia</t>
  </si>
  <si>
    <t>Garcia-Caceres, RG (corresponding author), Univ Pedag &amp; Tecnol Colombia UPTC, Sogamoso, Colombia.</t>
  </si>
  <si>
    <t>rafael.garcia01@uptc.edu.co; claudia.garcia@uniagustiniana.edu.co</t>
  </si>
  <si>
    <t>Agarwal J, 2007, CAN J ADM SCI, V24, P165, DOI 10.1002/CJAS.26; Al Khattab Adel, 2007, International Journal of Project Management, V25, P734, DOI 10.1016/j.ijproman.2007.03.006; Ashby NJ, 2013, EUR J POLIT ECON, V30, P80, DOI 10.1016/j.ejpoleco.2013.01.006; BANA E COSTA CA, 1988, EUR J OPER RES, V33, P159, DOI 10.1016/0377-2217(88)90367-0; BANA E COSTA CA, 1986, EUR J OPER RES, V26, P22, DOI 10.1016/0377-2217(86)90156-6; Banco de la Republica de Colombia, 2015, FLUJ INV DIR COL EXT; Busse M., 2007, EUR J POLIT ECON, V23, P397, DOI [DOI 10.1016/J.EJPOLECO.2006.02.003, 10.1016/j.ejpoleco.2006.02.003]; Central Intelligence Agency, 2015, WORLD FACTBOOK; Chang TY, 2018, J MANAGE ENG, V34, DOI 10.1061/(ASCE)ME.1943-5479.0000588; Czinkota M., 2007, NEGOCIOS INTERNACION; Dziawgo L, 2020, EKON PRAWO, V19, P249, DOI 10.12775/EiP.2020.017; Gao Y., 2009, SINGAP MANAG REV, V31, P99; Giambona E, 2017, J INT BUS STUD, V48, P523, DOI 10.1057/s41267-016-0058-4; Gormley T. A., 2016, J FINANC EC JFE JUL, DOI [10.2139/ssrn.2465632, DOI 10.2139/SSRN.2465632]; Hayakawa K, 2013, DEV ECON, V51, P60, DOI 10.1111/deve.12002; Heritage Foundation, 2015, 2015 IND EC FREED; Huang T, 2015, J BANK FINANC, V55, P393, DOI 10.1016/j.jbankfin.2014.08.003; International Committee of the Red Cross, 2008, CUAL DEF CONFL ARM S; Jadhav P, 2012, PROCD SOC BEHV, V37, P5, DOI 10.1016/j.sbspro.2012.03.270; Jimenez A, 2020, THUNDERBIRD INT BUS, V62, P149, DOI 10.1002/tie.22120; Jimenez A, 2014, J WORLD BUS, V49, P301, DOI 10.1016/j.jwb.2013.06.001; KOBRIN SJ, 1979, J INT BUS STUD, V10, P67, DOI 10.1057/palgrave.jibs.8490631; Kudrna Z, 2013, EUROPE-ASIA STUD, V65, P548, DOI 10.1080/09668136.2013.779458; Lahdelma R, 2003, EUR J OPER RES, V147, P117, DOI 10.1016/S0377-2217(02)00267-9; Ledyaeva S, 2013, EUR J POLIT ECON, V32, P1, DOI 10.1016/j.ejpoleco.2013.06.003; Liu P, 2022, EUR J FINANC, V28, P356, DOI 10.1080/1351847X.2021.1879888; Meon PG, 2012, WORLD DEV, V40, P2194, DOI 10.1016/j.worlddev.2012.03.022; Multilateral Investment Guarantee Agency-MIGA, 2011, WORLD INVESTMENT POL; Petrova M, 2012, ECON POLIT-OXFORD, V24, P200, DOI 10.1111/j.1468-0343.2012.0398.x; SETHI SP, 1986, CALIF MANAGE REV, V28, P57, DOI 10.2307/41165184; Tervonen T, 2014, INT J SYST SCI, V45, P69, DOI 10.1080/00207721.2012.659706; United Nations, 2015, SITUACION PERSPECTIV; United Nations Conference on Trade and Development-UNCTAD, 2013, EV SIST INT COM SUS; United Nations-UN, 2015, ACCIONES NACIONES UN; World Economic Forum, 2015, GLOBAL COMPETITIVENE</t>
  </si>
  <si>
    <t>10.17981/ingecuc.19.2.2023.03</t>
  </si>
  <si>
    <t>F2AS1</t>
  </si>
  <si>
    <t>WOS:000980430200003</t>
  </si>
  <si>
    <t>Salamanca, AMM; Alvarado-Garcia, AM</t>
  </si>
  <si>
    <t>Salamanca, Ana Maria Murillo; Alvarado-Garcia, Alejandra Maria</t>
  </si>
  <si>
    <t>Use of information and communication technologies to promote self-management of diabetic foot ulcers</t>
  </si>
  <si>
    <t>REVISTA CUIDARTE</t>
  </si>
  <si>
    <t>Diabetes Mellitus; Diabetic Foot; Health Promotion; Educational Intervention; Nursing Theory; Information Technology</t>
  </si>
  <si>
    <t>PROGRAM; SUPPORT; ADULTS</t>
  </si>
  <si>
    <t>Introduction: Using information and communication technologies in nursing educational interventions facilitates self-management processes to adapt to chronic health conditions. Objective: To evaluate the effect of a nursing educational intervention to promote self-management and prevent diabetic foot ulcers in Colombian adults with type 2 diabetes mellitus through information and communication technologies. Materials and Methods: A quasi-experimental, pre-and post-intervention study was conducted with 82 adults attending the chronic patient consultation of a second-level hospital in the department of Boyaca, Colombia. Participants were randomly allocated to the experimental and comparison groups. Results:There were no significant differences between the experimental and the comparison groups in terms of preintervention self-management scores. However, the experimental group's mean self-management score was significantly higher than the control group's six weeks after the intervention (p &lt; 0.005); the primary outcome was self-management behaviors from foot care. Nonparametric Wilcoxon and Mann Whitney tests were used. Discussion: nursing interventions should be supported by theoretical approaches specific to the discipline, which allow visualizing specific results, in this case self-management, which requires strategies such as knowledge, skills and social support that will support adaptation to situations of chronic illness. Conclusions: The educational intervention based on the use of information and communication technologies improved self-management for preventing diabetic foot injuries, achieving a change in people's behavior.</t>
  </si>
  <si>
    <t>[Salamanca, Ana Maria Murillo] Univ Pedag &amp; Tecnol Colombia UPTC, Tunja, Colombia; [Alvarado-Garcia, Alejandra Maria] Univ Antioquia Medellin, Univ Antonio Narino, Medellin, Colombia</t>
  </si>
  <si>
    <t>Universidad Pedagogica y Tecnologica de Colombia (UPTC); Universidad Antonio Narino; Universidad de Antioquia</t>
  </si>
  <si>
    <t>Salamanca, AMM (corresponding author), Univ Pedag &amp; Tecnol Colombia UPTC, Tunja, Colombia.</t>
  </si>
  <si>
    <t>anmarmur@hotmail.com; alalvarado@uan.edu.co</t>
  </si>
  <si>
    <t>Baba M, 2014, DIABETIC MED, V31, P1439, DOI 10.1111/dme.12521; Baji Z, 2017, SHIRAZ E MED J, V19, DOI [10.5812/semj.66298, DOI 10.5812/SEMJ.66298]; Bodenheimer T, 2002, JAMA-J AM MED ASSOC, V288, P2469, DOI 10.1001/jama.288.19.2469; Buckner EB HS, 2014, GENERATING MIDDLE RA, P299; Cahn A, 2018, J DIABETES, V10, P10, DOI 10.1111/1753-0407.12606; Chen MY, 2011, J ADV NURS, V67, P2060, DOI 10.1111/j.1365-2648.2011.05678.x; Fardazar FE, 2018, DIABETES METAB SYND, V12, P853, DOI 10.1016/j.dsx.2018.04.034; Federacion Internacional Diabetes, 2015, ATLAS DIABETES FID 7; Hartz J, 2016, CURR CARDIOL REP, V18, DOI 10.1007/s11886-016-0796-8; Heinemann Lutz, 2017, J Diabetes Sci Technol, V11, P863, DOI 10.1177/1932296817723261; Houston TK, 2002, AM J PSYCHIAT, V159, P2062, DOI 10.1176/appi.ajp.159.12.2062; Kogani M, 2015, EPIDEMIOL HEALTH, V37, DOI 10.4178/epih/e2015044; Li Ying, 2016, JMIR Diabetes, V1, pe2, DOI 10.2196/diabetes.4475; Mariam TG, 2017, J DIABETES RES, V2017, DOI 10.1155/2017/2879249; Markle-Reid M, 2018, J AM GERIATR SOC, V66, P263, DOI 10.1111/jgs.15173; Menino Eva, 2013, Rev. Enf. Ref., VserIII, P135, DOI 10.12707/RIII1247; Ministerio de Salud y Proteccion Social de Colombia, 2016, ANALISIS SITUACION S; Muñiz Gabriela Maldonado, 2019, Texto contexto - enferm., V28, pe20170552, DOI 10.1590/1980-265x-tce-2017-0552; Murillo Ana Maria, 2022, Mendeley Data, DOI 10.17632/G7M6SXJZ34; Naranjo Diana, 2016, J Diabetes Sci Technol, V10, P852, DOI 10.1177/1932296816650900; Organizacion Mundial de la Salud, 2018, 10 PRINC CAUS DEF; Plotnikoff RC, 2017, PREV MED, V105, P404, DOI 10.1016/j.ypmed.2017.08.027; Raghavarao MM, SAMPLE SIZE METHODOL, P49; Rossaneis MA, 2016, REV LAT-AM ENFERM, V24, DOI 10.1590/1518-8345.1203.2761; Sharoni SKA, 2018, PLOS ONE, V13, DOI 10.1371/journal.pone.0192417; Silva M, 2011, PREV CHRONIC DIS, V8; So CF, 2018, J TELEMED TELECARE, V24, P356, DOI 10.1177/1357633X17700552; Valenzuela-Suazo Sandra, 2018, Aquichan, V18, P20, DOI 10.5294/aqui.2018.18.1.3; Yudovsky D, 2011, J BIOMED OPT, V16, DOI 10.1117/1.3535592</t>
  </si>
  <si>
    <t>UNIV SANTANDER</t>
  </si>
  <si>
    <t>BUCARAMANGA</t>
  </si>
  <si>
    <t>CALLE 70 NO 55-210, CAMPUS LAGOS CACIQUE, BUCARAMANGA, 680001, COLOMBIA</t>
  </si>
  <si>
    <t>2216-0973</t>
  </si>
  <si>
    <t>2346-3414</t>
  </si>
  <si>
    <t>REV CUID</t>
  </si>
  <si>
    <t>Rev. Cuid.</t>
  </si>
  <si>
    <t>e2254</t>
  </si>
  <si>
    <t>10.15649/cuidarte.2254</t>
  </si>
  <si>
    <t>Nursing</t>
  </si>
  <si>
    <t>5A6ES</t>
  </si>
  <si>
    <t>WOS:000862979100004</t>
  </si>
  <si>
    <t>Duarte-Barrera, CI; Marino-Martinez, JE</t>
  </si>
  <si>
    <t>Duarte-Barrera, Claudia, I; Marino-Martinez, Jorge E.</t>
  </si>
  <si>
    <t>Beyond Desorption Testing on Coal Bed Methane Exploration (CBM). Colombia Case</t>
  </si>
  <si>
    <t>INGENIERIA Y COMPETITIVIDAD</t>
  </si>
  <si>
    <t>CBM; coal bed gas; isotherms; isotopes; chromatography; permeability</t>
  </si>
  <si>
    <t>Due to the decrease of natural gas reserves and the high death toll from explosions in coal mines, Colombia has been carrying out preliminary explorations of coalbed methane (CBM). Until now, CBM exploration has focused on the gas content per ton of coal from canister desorption systems, but few additional tests have been done to determine coal gas saturation, gas origin, methane percentage and coalbeds permeability. The purpose of this research is to analyze recent information in the country on the use of adsorption isotherms, C13 and deuterium isotopes analyses, gas chromatography and permeability modeling. Adsorption isothermal test indicates that coalbeds are sub saturated, isotopic results show that gas origin is mainly biogenic, that methane content would be below 77%, and that permeability values could be high. These results also indicate that more isotherms, isotopes, chromatography and permeability tests are required to clarify with greater precision methane saturation, gas origin, methane percentage and flow capacity that CBM deposits would have in Colombia, and in this way ensure that there is enough gas to achieve economic feasibility in future projects. It is also concluded that the exploration has been superficial and that it is necessary to investigate the CBM at depths greater than 600 m, at a prudent distance from mining works and away from highly fractured areas; preferably in structures such as synclines with low deep structures, which should include studies of fractures, diagenesis, and reservoir modeling.</t>
  </si>
  <si>
    <t>[Duarte-Barrera, Claudia, I] Univ Nacl Colombia, Fac Ciencias, Dept Geociencias, Ciencias Geol, Bogota, Colombia; [Marino-Martinez, Jorge E.] Univ Pedag &amp; Tecnol Colombia UPTC, Escuela Ingn Geol, Grp Invest INGEOLOG, Linea Hidrocarburos Convenc, Sogamoso, Colombia</t>
  </si>
  <si>
    <t>Universidad Nacional de Colombia; Universidad Pedagogica y Tecnologica de Colombia (UPTC)</t>
  </si>
  <si>
    <t>Duarte-Barrera, CI (corresponding author), Univ Nacl Colombia, Fac Ciencias, Dept Geociencias, Ciencias Geol, Bogota, Colombia.</t>
  </si>
  <si>
    <t>cduarteb@unal.edu.co; jorge.marino@uptc.edu.co</t>
  </si>
  <si>
    <t>Agencia Nacional de Hidrocarburos ANTEK, 2015, CAR HIDR HIDR QUIM A; Alvarado D, 2019, THESIS UPTC SOGAMOSO; Amaya E, 2010, B GEOLOGIA, V32, P13; COOPER MA, 1995, AAPG BULL, V79, P1421; Demir I, 2004, DELINEATION COALBED; Duarte C, 2013, EXPLORACION GAS META; Duarte C, 2014, EXPLORACION GAS META; Duarte C, 2016, EXPLORACION GAS META; Holting B, 2019, SPR TXT EAR SCI GEOG, DOI [10.1007/978-3-662-56375-5, 10.1007/978-3-662-56375-5_1]; Little Arthur D, 2010, ANALISIS TECNOLOGIA; Marino J, 2015, GAS ASOCIADO CARBON, P110; Moore T, 2004, 1 ANN ILLINOIS BASIN; Moore TA, 2012, INT J COAL GEOL, V101, P36, DOI 10.1016/j.coal.2012.05.011; Ortiz L, EXPLORACION GAS META; Ortiz L, 2019, PROSPECCION GAS META; Ortiz L, 2018, EXPLORACION GAS META; Quiros M., 2006, PRINCIPIOS APLICACIO; Rincon M, 2012, POTENCIAL CARBONIFER; Rincon M, EXPLORACION GAS META; Rivera L, 2019, INT J COAL GEOL, V209, P54, DOI 10.1016/j.coal.2019.03.018; SARMIENTO G., 1992, B GEOLOGICO INGEOMIN, V32, P3; Servicio Geologico Colombiano Universidad Pedagogica y Tecnologica de Colombia, 2011, EXPL GAS MET AS CARB; Unidad de Planeamiento Minero Energetico UPME, 2016, ESTR APR GAS MET AS; Whiticar M.J., 1994, PETROLEUM SYSTEM SOU, V60, P261</t>
  </si>
  <si>
    <t>UNIV VALLE, FAC INGENIERIA</t>
  </si>
  <si>
    <t>CIUDAD UNIV MELENDEX, CALLE 13 NO 100-00, CALI, 25360, COLOMBIA</t>
  </si>
  <si>
    <t>0123-3033</t>
  </si>
  <si>
    <t>ING COMPET</t>
  </si>
  <si>
    <t>Ing. Compet.</t>
  </si>
  <si>
    <t>e20511343</t>
  </si>
  <si>
    <t>10.25100/iyc.v24i2.11343</t>
  </si>
  <si>
    <t>8R1AX</t>
  </si>
  <si>
    <t>WOS:000927631700005</t>
  </si>
  <si>
    <t>Guio-Burgos, FA; Combariza-Pinzon, MJ; Cerquera-Escobar, FA</t>
  </si>
  <si>
    <t>Guio-Burgos, Fredy Alberto; Combariza-Pinzon, Maria Johana; Cerquera-Escobar, Flor angela</t>
  </si>
  <si>
    <t>Pedestrian gaps and walking speed at uncontrolled midblock crosswalks</t>
  </si>
  <si>
    <t>Accident prevention; Safety; Traffic; Urban Environment</t>
  </si>
  <si>
    <t>MID-BLOCK CROSSWALKS; CROSSING BEHAVIOR; ACCEPTANCE; AGE; SAFETY</t>
  </si>
  <si>
    <t>This study seeks to understand the behavior of pedestrians who cross the street mid-block where vehicles travel while making use of existing vehicular gaps. This study was carried out in the city of Tunja and information was collected in order to obtain data on the accepted gap and crossing speed which was then correlated to variables such as age, gender, type of vehicle, group formation, reduced mobility conditions, walking time, walking vs. running, and if the person crosses with children, among others. A statistical characterization was performed on the above information, obtaining relationships that may be of interest in understanding pedestrian behavior in the city. We found that the gap accepted by a pedestrian is directly proportional to the walking time and the time used to make the crossing is near 50% of the critical gap. The variables that were more significant in the size of the gaps accepted by pedestrians at the crossing were: the type of vehicle, the type of gap, and the walking time.</t>
  </si>
  <si>
    <t>[Guio-Burgos, Fredy Alberto; Combariza-Pinzon, Maria Johana; Cerquera-Escobar, Flor angela] Univ Pedag &amp; Tecnol Colombia, Escuela Ingn Transporte &amp; Vias, Fac Ingn, Grp Invest &amp; Desarrollo Operac Transito GIDOT, Ave Norte 39, Tunja 150001, Colombia</t>
  </si>
  <si>
    <t>Guio-Burgos, FA (corresponding author), Univ Pedag &amp; Tecnol Colombia, Escuela Ingn Transporte &amp; Vias, Fac Ingn, Grp Invest &amp; Desarrollo Operac Transito GIDOT, Ave Norte 39, Tunja 150001, Colombia.</t>
  </si>
  <si>
    <t>fredy.guio@uptc.edu.co</t>
  </si>
  <si>
    <t>[Anonymous], 2005, ACCIDENTALIDAD PEATO; [Anonymous], 2016, LIGA PEATONAL; Arenas-Gonzalez J. M., 2018, THESIS U S BOLIVAR B; Bennet S, 2001, 23 C AUSTR I TRANSPO; Cerquera-Escobar F. A., 2015, ANALISIS ESPACIAL AC, V1st; Chen P, 2016, SAFETY SCI, V82, P68, DOI 10.1016/j.ssci.2015.09.016; Chu X., 2006, BD54416 CTR URB TRAN; der Burg J. D. V., 2011, DESIRE LINES OLIFANT; Dumbaugh E, 2011, J AM PLANN ASSOC, V77, P69, DOI 10.1080/01944363.2011.536101; Elefteriadou L. A., 2016, ITE J, V6; Ferenchak NN, 2016, J TRAFFIC TRANSP ENG, V3, P345, DOI 10.1016/j.jtte.2015.12.001; Gates T. J., 2006, TRB 2006 ANN M; Guio-Burgos F. A., 2010, REV VIRTUAL UNIV CAT, V29; Guo HW, 2012, SAFETY SCI, V50, P968, DOI 10.1016/j.ssci.2011.12.027; Hamed M. M., 2001, P C TRAFFIC SAFETY 3; Kadali B.R., 2012, INT J ENG TECHNOL, V4, P158, DOI DOI 10.7763/IJET.2012.V4.339; Kadali BR, 2016, SAFETY SCI, V89, P94, DOI 10.1016/j.ssci.2016.05.014; Knoblauch R. L., 1996, TRANSPORT RES, V1538, P27, DOI DOI 10.3141/1538-04; Li PF, 2013, PROCD SOC BEHV, V96, P442, DOI 10.1016/j.sbspro.2013.08.052; Liu YC, 2014, SAFETY SCI, V63, P77, DOI 10.1016/j.ssci.2013.11.002; Mayor R. C., 2018, INGENIERIA TRANSITO, V9th; Naci H, 2009, INJURY PREV, V15, P55, DOI 10.1136/ip.2008.018721; Odero W, 1997, TROP MED INT HEALTH, V2, P445, DOI 10.1046/j.1365-3156.1997.d01-296.x; Oxley JA, 2005, ACCIDENT ANAL PREV, V37, P962, DOI 10.1016/j.aap.2005.04.017; Papadimitriou E, 2016, TRANSPORT RES F-TRAF, V36, P69, DOI 10.1016/j.trf.2015.11.003; Pawar DS, 2016, TRANSPORT RES C-EMER, V70, P42, DOI 10.1016/j.trc.2016.04.012; Radelat G., 2003, PRINCIPIOS INGENIENA; Raghuram-Kadali B., 2014, 14 COTA INT C TRANSP, DOI [10.1061/9780784413623.184, DOI 10.1061/9780784413623.184]; Reber E. E., 2015, GLOBAL STATUS REPORT; Roess R. P., 2010, TRAFFIC ENG, V2nd; Rosenbloom T, 2009, TRANSPORT RES F-TRAF, V12, P389, DOI 10.1016/j.trf.2009.05.002; Tarawneh MS, 2001, J SAFETY RES, V32, P229, DOI 10.1016/S0022-4375(01)00046-9; Vanumu LD, 2017, EUR TRANSP RES REV, V9, DOI 10.1007/s12544-017-0264-6; Vasudevan V, 2020, TRANSPORT RES F-TRAF, V74, P95, DOI 10.1016/j.trf.2020.08.010; Welle B, 2015, CITIES SAFER DESIGN; Wilson D. G., 1983, TRRLLR933 NAT TECHN; Xin XY, 2014, PHYSICA A, V406, P287, DOI 10.1016/j.physa.2014.03.068; Yang DF, 2020, Arxiv, DOI DOI 10.48550/ARXIV.2005.07769; Yannis G, 2013, TRANSPORT PLAN TECHN, V36, P450, DOI 10.1080/03081060.2013.818274; Zeedyk MS, 2003, ACCIDENT ANAL PREV, V35, P771, DOI 10.1016/S0001-4575(02)00086-6; Zegeer CV., 1993, TRANSP RES REC; Zhao J, 2019, ACCIDENT ANAL PREV, V129, P76, DOI 10.1016/j.aap.2019.05.012</t>
  </si>
  <si>
    <t>10.17533/udea.redin.20220371</t>
  </si>
  <si>
    <t>WOS:000937341400003</t>
  </si>
  <si>
    <t>Millan, JJG; Rodriguez, CC; Valencia, RGM</t>
  </si>
  <si>
    <t>Millan, Jose Javier Gonzalez; Rodriguez, Carolina Castro; Valencia, Ricardo Gustavo Molina</t>
  </si>
  <si>
    <t>Management through a theoretical model for Boyacan SMEs Management through a theoretical model for Boyacan SMEs</t>
  </si>
  <si>
    <t>REVISTA DE GESTAO E SECRETARIADO-GESEC</t>
  </si>
  <si>
    <t>[Millan, Jose Javier Gonzalez] Univ Pedag &amp; Tecnol Colombia, Adm Univ Autonoma Queretaro, Escuela Adm Empresas, Calle 4,A Sur,15-134, Sogamoso, Boyaca, Colombia; [Rodriguez, Carolina Castro] Univ Pedag &amp; Tecnol Colombia, Ciencias Econ &amp; Adm, UCI Mexico, Calle 4,A Sur,15-134, Sogamoso, Boyaca, Colombia; [Valencia, Ricardo Gustavo Molina] Univ Pedag &amp; Tecnol Colombia, Direcc Estrateg UCI Mexico, Calle 4,A Sur,15-134, Sogamoso, Boyaca, Colombia</t>
  </si>
  <si>
    <t>Millan, JJG (corresponding author), Univ Pedag &amp; Tecnol Colombia, Adm Univ Autonoma Queretaro, Escuela Adm Empresas, Calle 4,A Sur,15-134, Sogamoso, Boyaca, Colombia.</t>
  </si>
  <si>
    <t>javier.gonzalezmillan@uptc.edu.co; carolina.castrorodriguez@uptc.edu.co; ricardo.molina@uptc.edu.co</t>
  </si>
  <si>
    <t>Achua C., 2002, LIDERAZGO TEORIA DES, P421; Alarcon D., 2011, NEGOTIUM, V7; Alvarado S., 2006, CONTAD ADM; Barreto C., 2005, MEM C INT INV ADM AM, P310; Calderón Hernández Gregorio, 2006, Cuad. Adm., V19, P9; Camacho B., 2003, METODOLOGIA INVESTIG; Campos F., 2010, ESTUD MENSAJE PERIOD, V16, P13; Chiavenato I., 2005, INTRO TEORIA GEN ADM, V7a; Davila C., 2001, TEORIAS ORG ADM ENFO, V2a; Deutsch K., 1969, NERVIOS GOBIERNO; Dumaine B., 1995, HAKIM WE ARE ALL SEL; Echevarria S., 2002, ICE EMPRESAS MULTIN, V799, P55; Gonzalez M., 2010, PENSAMIENTO GESTION, V29, P163; González Millán José J., 2011, cuad.adm., V27, P67; González-Millán José Javier, 2014, Entramado, V10, P106; Guerrero O., 2001, REV DIGITAL UNIV, V2, P1; HERNANDEZ SAMPIERI R., 2010, METODOLOGIA INVESTIG, V5ta; Hill C., 1996, ADM ESTRATEGICA ENFO, P440; Macedo S., 2010, EVOLUCION MODELOS GE; Malagon R., 2002, MODELACION SISTEMAS, P121; Maslow A. H., 1970, MOTIVATION PERSONALI; Mayo E., 1972, PROBLEMAS HUMANOS CI, V2a; Orengo V., 2002, REV PSICOLOGIA TRABA, V18; Quivy R., 2005, MANUAL INVESTIGACION; Scott D., 2008, MANUAL PLANEACION CO; Taylor F., 1911, PRINCIPIES SCI MANAG; Yaber GE, 1998, REV LAT AM PSICOL, V30, P279; Zapata E., 2005, MEM C INT INV ADM A, P296</t>
  </si>
  <si>
    <t>SINDICATO SECRETARIAS ESTADO SAO PAULO</t>
  </si>
  <si>
    <t>RUA TUPI 118, SAO PAULO, 01233-000, BRAZIL</t>
  </si>
  <si>
    <t>2178-9010</t>
  </si>
  <si>
    <t>REV GEST SECR-GESEC</t>
  </si>
  <si>
    <t>Rec. Gest. Secr.-GeSeC</t>
  </si>
  <si>
    <t>10.7769/gesec.v14i4.2017</t>
  </si>
  <si>
    <t>F4VZ9</t>
  </si>
  <si>
    <t>WOS:000982356400005</t>
  </si>
  <si>
    <t>Dallos, JA; Pinzon, WG; Rivera, PS</t>
  </si>
  <si>
    <t>Dallos, J. Alarcon; Pinzon, W. Galvis; Rivera, P. Suarez</t>
  </si>
  <si>
    <t>Feasibility of using asphaltites from Pesca Boyac? in flexible pavement structures</t>
  </si>
  <si>
    <t>Asphaltite; cold dense mixture; stability; unconventional materials; fine aggregate</t>
  </si>
  <si>
    <t>The use of unconventional materials has been a widely studied and used technique around the world. The results of the comparative analysis of a dense cold mix of aggregates with the addition of asphaltite from a technical and economic point of view is reported. The study was carried out using the methods developed by Marshall and Ramcodes, which characterized the aggregates first, in order to make an accurate comparison between the specifications and volumetric properties obtained and determine if asphaltite can be used in the construction of layers of flexible pavements in Colombia. The mix designed for the gradation of the central limit of the specifications using asphaltite meets the design criteria for a cold dense mix used in patching work except for flow. These mixtures can have a better performance than conventional mixtures while remaining economic. The use of Pesca, Boyaca asphaltites as a fine aggregate in a dense cold mix with asphalt emulsion is promising. This is due to its increased stability at an initial manufacturing cost which is lower than the cost of a conventional mix.</t>
  </si>
  <si>
    <t>[Dallos, J. Alarcon; Pinzon, W. Galvis; Rivera, P. Suarez] Univ Pedag &amp; Tecnol Colombia, Tunja, Colombia</t>
  </si>
  <si>
    <t>Dallos, JA (corresponding author), Univ Pedag &amp; Tecnol Colombia, Tunja, Colombia.</t>
  </si>
  <si>
    <t>joserodrigo.alarcon@uptc.edu.co</t>
  </si>
  <si>
    <t>Al-Mosawe Hasan, 2015, International Journal on Pavement Engineering &amp; Asphalt Technology, V16, P39, DOI 10.1515/ijpeat-2015-0008; Alarcon Pena L. F., 2014, THESIS U MILITAR NUE; Bustamante Cortes B., 2019, THESIS U PILOTO COLO; Caro S., 2017, REV ING-BOGOTA, P12, DOI DOI 10.16924/REVINGE.45.3; Chadboum B. A., 1999, EFFECT VOIDS MINERAL; Cooper III S. B., 2011, THESIS U CENTRAL FLO; Dash S. S., 2013, THESIS NATL I TECHNO; Gashi E., 2017, INT J AD ENG RES SCI, V4, DOI [10.22161/ijaers.4.5.31, DOI 10.22161/IJAERS.4.5.31]; Higuera Sandoval C.H., 2017, REV INGENIO MAGNO, V8, P20; Instituto Nacional de Vias (INV?AS), 2013, ESP GEN CONSTR CARR; Kaa B., 2016, REV INICIACION CIENT, V2, P48; Manrique-Espindola R, 2013, J PHYS CONF SER, V466, DOI 10.1088/1742-6596/466/1/012033; Mantilla-Forero Javier Eduardo, 2019, Dyna rev.fac.nac.minas, V86, P257, DOI 10.15446/dyna.v86n208.69400; Ministerio de Comunicaciones Infraestructura y Vivienda., 2001, ESP GEN CONSTR CARR; Ministerio de Infraestructura Fundacion de Laboratorio Nacional de Vialidad Fundalanavial, 2003, DIS MEZCL ASF FRIO U; Pena Acosta E. A., 2017, ANALISIS APLICACIONE, P1; Razzaq K., 2018, INT J ENG TECHNOLOGY, V8, P530; Reyes Ortiz O. J., 2008, REV CIENTIFICA INGEN; Reyes-Ortiz Oscar Javier, 2013, Rev. Cient. Gen. José María Córdova, V11, P215; Rondón Quintana Hugo Alexander, 2012, rev.ing., P12; Ruiz Acero J.C., 2016, ESPRIT INGENIEUX, V7; Salamanca Rodr?guez, 2012, REV INGENIO, V5; Sanchez Leal F. J., 2009, RAMCODES METODOLOGIA; Sibaja Obando M., 2009, REV INFRAESTRUCTURA, V11, P18; Themeli A., 2017, INT J PAVEMENT RES T, V10, P75, DOI [10.1016/j.ijprt.2017.01.003, DOI 10.1016/J.IJPRT.2017.01.003]; Yang WT, 2020, ADV MATER SCI ENG, V2020, DOI 10.1155/2020/6251653</t>
  </si>
  <si>
    <t>10.7764/RIC.00054.21</t>
  </si>
  <si>
    <t>D6BP2</t>
  </si>
  <si>
    <t>WOS:000969277000001</t>
  </si>
  <si>
    <t>Sarmiento-Garavito, LP; Garcia-Monroy, JS; Carvajal-Cogollo, JE</t>
  </si>
  <si>
    <t>Sarmiento-Garavito, Lina P.; Garcia-Monroy, Juan S.; Carvajal-Cogollo, Juan E.</t>
  </si>
  <si>
    <t>Taxonomic and functional diversity of birds in a rural landscape of high Andean forest, Colombia</t>
  </si>
  <si>
    <t>NEOTROPICAL BIOLOGY AND CONSERVATION</t>
  </si>
  <si>
    <t>Colombian Andes; countryside; functional traits; species composition; species richness; transformed&amp;nbsp; landscape</t>
  </si>
  <si>
    <t>We evaluated the taxonomic and functional diversity of birds in a rural landscape in the north-eastern Andes of Colombia. We carried out seven field trips and used transects of 300 m, separated from each other by 500 m in the dominant plant cover of the rural landscape. We measured alpha (alpha) and beta (beta) diversity at both the taxonomic and functional levels. We registered 10 orders, 21 families, 56 genera and 63 species of birds. In wooded pasture, we recorded 55 species and a relative abundance of 66% and 44 and 34% for an Andean forest fragment. The species that contributed the most to the dissimilarity between the covers were Zonotrichia capensis, Turdus fuscater, Mecocerculus leucophrys, Atlapetes latinuchus and Crotophaga ani. We identified nine functional types, where G1 was made up of small species with anissodactyl and pamprodactyl legs that were insectivorous, frugivorous and nectarivorous as the best represented. The FEve and FDiv were 0.51 and 0.74, respectively in the Andean forest fragment plant cover and, for the wooded pasture, the FEve was 0.45 and the FDiv was 0.81. Both cover types contributed to the diversity of the rural landscape and the dynamics that existed between them formed a complementary factor that favoured the taxonomic and functional richness of the characterised rural landscape.</t>
  </si>
  <si>
    <t>[Sarmiento-Garavito, Lina P.; Garcia-Monroy, Juan S.; Carvajal-Cogollo, Juan E.] Univ Pedag &amp; Tecnol Colombia, Fac Ciencias, Grp Invest Biodiversidad &amp; Conservac, Museo Hist Nat Luis Gonzalo Andrade Nat, Ave Cent Norte 39-115, Tunja 150003, Boyaca, Colombia</t>
  </si>
  <si>
    <t>Carvajal-Cogollo, JE (corresponding author), Univ Pedag &amp; Tecnol Colombia, Fac Ciencias, Grp Invest Biodiversidad &amp; Conservac, Museo Hist Nat Luis Gonzalo Andrade Nat, Ave Cent Norte 39-115, Tunja 150003, Boyaca, Colombia.</t>
  </si>
  <si>
    <t>juancarvajalc@gmail.com</t>
  </si>
  <si>
    <t>Carvajal-Cogollo, Juan E./AAK-7264-2021</t>
  </si>
  <si>
    <t>Carvajal-Cogollo, Juan E./0000-0002-4542-6967</t>
  </si>
  <si>
    <t>Natural Reserve of the Civil Society Rogitama Biodiversidad; Project The biodiversity of Boyaca: Complementation and synthesis through altitudinal gradients and implementa-tions of its incorporation in projects of social appropriation of knowledge and the effects of climate change, Boyaca [BPIN 2020000100003]</t>
  </si>
  <si>
    <t>Natural Reserve of the Civil Society Rogitama Biodiversidad; Project The biodiversity of Boyaca: Complementation and synthesis through altitudinal gradients and implementa-tions of its incorporation in projects of social appropriation of knowledge and the effects of climate change, Boyaca</t>
  </si>
  <si>
    <t>Roberto Chavarro Chavarro, owner of the Natural Reserve of the Civil Society Rogitama Biodiversidad, partially financed this research and provided logistical support for the mobilisation between the different sampling coverages. The Biodi-versity and Conservation research group of the Pedagogical and Technological Uni-versity of Colombia provided tutorials for the statistical analyses of this research. This article is published as a product of the Project The biodiversity of Boyaca: Complementation and synthesis through altitudinal gradients and implementa-tions of its incorporation in projects of social appropriation of knowledge and the effects of climate change, Boyaca BPIN 2020000100003.</t>
  </si>
  <si>
    <t>Bilenca David N, 2017, Mastozool. neotrop., V24, P277; Bongaarts J, 2019, POPUL DEV REV, V45, P680, DOI 10.1111/padr.12283; Cadotte MW, 2011, J APPL ECOL, V48, P1079, DOI 10.1111/j.1365-2664.2011.02048.x; Casanoves F, 2011, METHODS ECOL EVOL, V2, P233, DOI 10.1111/j.2041-210X.2010.00082.x; Cavelier J, 1995, BIODIVERSITY AND CONSERVATION OF NEOTROPICAL MONTANE FORESTS, P541; Chao A, 2014, ECOL MONOGR, V84, P45, DOI 10.1890/13-0133.1; Chao A, 2012, ECOLOGY, V93, P2533, DOI 10.1890/11-1952.1; CHAO MT, 1994, STAT SINICA, V4, P389; Chavarro R, 2005, BOL SAO, V15, P118; CLARKE KR, 1993, AUST J ECOL, V18, P117, DOI 10.1111/j.1442-9993.1993.tb00438.x; Collinge SK, 2009, ECOL FRAGM LANDSCAPE; COLWELL RK, 1994, PHILOS T R SOC B, V345, P101, DOI 10.1098/rstb.1994.0091; Colwell RK, 2012, J PLANT ECOL, V5, P3, DOI 10.1093/jpe/rtr044; Cook WM, 2002, ECOL LETT, V5, P619, DOI 10.1046/j.1461-0248.2002.00366.x; Cordoba-Cordoba S, 2006, 1 S INT ROBL EC AS M, P119; Daily GC, 2001, ECOL APPL, V11, P1, DOI 10.1890/1051-0761(2001)011[0001:CBUOHD]2.0.CO;2; Carvajal-Castro JD, 2019, PLOS ONE, V14, DOI 10.1371/journal.pone.0218775; Di Rienzo JA., 2009, INFOSTAT VERSION; Ding N, 2017, SCI TOTAL ENVIRON, V574, P288, DOI 10.1016/j.scitotenv.2016.09.053; Enriquez-Lenis M. L., 2007, Agroforesteria en las Americas, P49; Etter A., 1998, INFORME NACL ESTADO, P106; Etter A, 1993, NUESTRA DIVERSIDAD B, P43; Freedman B, 2014, GLOBAL ENVIRON CHANG, P571, DOI [10.1007/978-94-007-5784-4_39, DOI 10.1007/978-94-007-5784-4_39]; Gale GA, 2009, AUK, V126, P439, DOI 10.1525/auk.2009.08087; Galindo R., 2000, ESQUEMA ORDENAMIENTO; Garcia-Monroy JS, 2020, CHECK LIST, V16, P1475, DOI 10.15560/16.6.1475; Garcia-Romero A, 2019, LANDSCAPE ECOL, V34, P51, DOI 10.1007/s10980-018-0733-x; Geupel G. R., 1996, PSWGTR159 USDA FOR S; Hadley AS, 2018, BIOTROPICA, V50, P74, DOI 10.1111/btp.12487; Herrel A, 2005, FUNCT ECOL, V19, P43, DOI 10.1111/j.0269-8463.2005.00923.x; Howe Robert W., 1997, Passenger Pigeon, V59, P183; Hsieh TC, 2013, INEXT ONLINE INTERPO; Ikin K, 2016, BIOL CONSERV, V204, P411, DOI 10.1016/j.biocon.2016.11.010; Issa MAA, 2019, J BASIC APPL ZOOL, V80, P34, DOI [10.1186/s41936-019-0103-5, DOI 10.1186/s41936-019-0103-5]; Laliberte E, 2010, ECOLOGY, V91, P299, DOI 10.1890/08-2244.1; Lampila P, 2005, CONSERV BIOL, V19, P1537, DOI 10.1111/j.1523-1739.2005.00201.x; Larsen FW, 2012, J APPL ECOL, V49, P349, DOI 10.1111/j.1365-2664.2011.02094.x; Lawton JH, 1998, NATURE, V391, P72, DOI 10.1038/34166; Leach EC, 2016, EMU, V116, P305, DOI 10.1071/MU15097; Lobo D, 2011, DIVERS DISTRIB, V17, P287, DOI 10.1111/j.1472-4642.2010.00739.x; Lopez-Ordonez JP, 2015, ECOLOGIA FUNCIONAL C, P80; Luck GW, 2013, PLOS ONE, V8, DOI 10.1371/journal.pone.0063671; McMullan M, 2014, FIELD GUIDE BIRDS CO, V2nd; Morante JC, 2016, J ANIM ECOL, V85, P240, DOI 10.1111/1365-2656.12448; Mouillot D, 2005, OECOLOGIA, V142, P353, DOI 10.1007/s00442-004-1744-7; Newbold T, 2013, P ROY SOC B-BIOL SCI, V280, DOI 10.1098/rspb.2012.2131; Ocampo-Penuela N, 2015, PLOS ONE, V10, DOI 10.1371/journal.pone.0143311; Oldeland J, 2010, ECOL INDIC, V10, P390, DOI 10.1016/j.ecolind.2009.07.012; Petchey OL, 2002, ECOL LETT, V5, P402, DOI 10.1046/j.1461-0248.2002.00339.x; Pettingill OS, 1985, ORNITHOLOGY LAB FIEL; Ranganathan J, 2008, BIOGEOGRAFIA PAISAJE; Rangel-Ch JO, 1986, CALDASIA, P503; Rangel-Ch JO, 1997, DIVERSIDAD BIOTICA 2, P304; Remsen JV, 2020, CLASSIFICATION BIRD; Restall RL, 2007, BIRDS NO S AM PLATES, V2; Ridgely R. S., 2009, FIELD GUIDE SONGBIRD; Sáenz - Jiménez Fausto Alexis, 2010, Colomb. for., V13, P299; Sekercioglu CH, 2006, TRENDS ECOL EVOL, V21, P464, DOI 10.1016/j.tree.2006.05.007; Stotz DF, 1996, NEOTROPICAL BIRDS EC, P293; Tabarelli M, 2010, BIOL CONSERV, V143, P2328, DOI 10.1016/j.biocon.2010.02.005; Trzcinski MK, 1999, ECOL APPL, V9, P586, DOI 10.1890/1051-0761(1999)009[0586:IEOFCA]2.0.CO;2; Tscharntke T, 2012, BIOL REV, V87, P661, DOI 10.1111/j.1469-185X.2011.00216.x; Verissimo D, 2009, ANIM CONSERV, V12, P549, DOI 10.1111/j.1469-1795.2009.00282.x; Villard MA, 1999, CONSERV BIOL, V13, P774, DOI 10.1046/j.1523-1739.1999.98059.x; Villeger S, 2008, ECOLOGY, V89, P2290, DOI 10.1890/07-1206.1; Westgate MJ, 2014, NAT COMMUN, V5, DOI 10.1038/ncomms4899; Wilman H., 2014, ECOLOGY, V95, P2027, DOI DOI 10.1890/13-1917.1; Zurita GA, 2006, FOREST ECOL MANAG, V235, P164, DOI 10.1016/j.foreco.2006.08.009</t>
  </si>
  <si>
    <t>PENSOFT PUBLISHERS</t>
  </si>
  <si>
    <t>SOFIA</t>
  </si>
  <si>
    <t>12 PROF GEORGI ZLATARSKI ST, SOFIA, 1700, BULGARIA</t>
  </si>
  <si>
    <t>2236-3777</t>
  </si>
  <si>
    <t>NEOTROP BIOL CONSERV</t>
  </si>
  <si>
    <t>Neotrop. Biol. Conserv.</t>
  </si>
  <si>
    <t>10.3897/neotropical.17.e66096</t>
  </si>
  <si>
    <t>Biodiversity Conservation; Biology; Ecology; Zoology</t>
  </si>
  <si>
    <t>Biodiversity &amp; Conservation; Life Sciences &amp; Biomedicine - Other Topics; Environmental Sciences &amp; Ecology; Zoology</t>
  </si>
  <si>
    <t>0A6BP</t>
  </si>
  <si>
    <t>WOS:000774037900001</t>
  </si>
  <si>
    <t>Enciso, AFO</t>
  </si>
  <si>
    <t>Ospina Enciso, Andres Felipe</t>
  </si>
  <si>
    <t>The true spirit and the false enemy. Evangelical and indigenous religious beliefs and ethnic recomposition in Nasa Wesx, south of Tolima</t>
  </si>
  <si>
    <t>REVISTA COLOMBIANA DE SOCIOLOGIA</t>
  </si>
  <si>
    <t>armed conflict; Christian and Missionary Alliance; indigenous spirituality; Nasa people; religiosity; southern Tolima</t>
  </si>
  <si>
    <t>This article aims to give an account, from an anthropological perspective, of the interaction process between the Protestant evangelical creed and the indigenous spiritual tradition of the Nasa Wesx people of Gaitania, in southern Tolima. These belief practices take shape in a region colonized by peasants, indigenous people, institutions, armed groups, and religious communities. These actors have mediated between the armed conflict, divergent political positions and the sense of faith, elements that influence the conformation of an ambivalent collective character, the development of territorial tensions, and also agreements and consensus between the indigenous community that coalesces in their social formation diverse religious motives in commonly accepted forms of belief. The ritual and cult actions of the evangelical creed, in an atmosphere of religious congregation, spirituality and ethnic tradition, produce social and territorial appropriations, as well as balances and exchanges that consecrate spaces of otherness. The article focuses on the role played by the Alianza Cristiana y Misionera de Colombia, an evangelical congregation that has had a long activity in this region, and has developed processes of mission, preaching, but also participation and advocacy in social organization and Nasa Wesx community policy. This does not mean that the indigenous community as a whole bow to the doctrine and provisions of the Church. It suggests more that the practices of faith and worship are incorporated into the ways of interacting with the conflict, generating the processes of colonization and social organization in the region. The research was developed as an ethnographic fieldwork that, through informal dialogues in the situated experience, accounts for the point of view of the actors of these creeds promoting a qualitative analysis around how to believe in a disputed region in politics and religion.</t>
  </si>
  <si>
    <t>[Ospina Enciso, Andres Felipe] Univ Pedag &amp; Tecnol Colombia, Escuela Ciencias Sociales, Tunja, Colombia</t>
  </si>
  <si>
    <t>Enciso, AFO (corresponding author), Univ Pedag &amp; Tecnol Colombia, Escuela Ciencias Sociales, Tunja, Colombia.</t>
  </si>
  <si>
    <t>andres.ospina02@uptc.edu.co</t>
  </si>
  <si>
    <t>Albert M. J, 2014, REV OBSERVACIONES FI, V17; Ramirez CA, 2015, REV ESTUD SOC, P89, DOI 10.7440/res51.2015.07; Beltran W, 2011, REV COLOMB SOCIOL, V34, P35; Caviedes Mauricio., 2007, PAZ RESISTENCIA EXPE; CRIC, 1997, CONC REG IND CAUC MI; Donnan H, 2007, ETHNOS, V72, P5, DOI 10.1080/00141840701219494; Eagleton T., 2012, RAZON FE REVOLUCION; Espinosa M., 2009, CIVILIZACION MONTES; Ospina AF, 2015, ANU HIST REG FRONT, V20, P101; Gros C, 2000, ALGUNAS HIPOTESIS PO; Hale C. A, 1973, AMERICAS, V30, P142; Katz S, 2012, HIST ALIANZA CRISTIA; Mauss M., 2010, ENSAYO DON FORMA FUN; Moreno Pablo, 2010, MOMENTOS HACIA ATRAS; Nutini H, 2014, NATIVE EVANGELISM CE; OSPINA ENCISO ANDRÉS FELIPE, 2013, Rev. colomb. antropol., V49, P177; Tempass M C, 2014, RELIGIOES RELIGIOSID, P153; Wright RM, 2017, INT J LAT AM RELIG, V1, P42, DOI 10.1007/s41603-017-0002-9</t>
  </si>
  <si>
    <t>UNIV NACL COLOMBIA, DEPT SOCIOLOGIA</t>
  </si>
  <si>
    <t>CIUDAD UNIV, BOGOTA, 00000, COLOMBIA</t>
  </si>
  <si>
    <t>0120-159X</t>
  </si>
  <si>
    <t>2256-5485</t>
  </si>
  <si>
    <t>REV COLOMB SOCIOL</t>
  </si>
  <si>
    <t>Rev. Colomb. Sociol.</t>
  </si>
  <si>
    <t>10.15446/rcs.v45n1.90229</t>
  </si>
  <si>
    <t>YL1KU</t>
  </si>
  <si>
    <t>WOS:000745658900010</t>
  </si>
  <si>
    <t>Balbuena, DH</t>
  </si>
  <si>
    <t>Balbuena, David Hernando</t>
  </si>
  <si>
    <t>Aambiguous love</t>
  </si>
  <si>
    <t>CUESTIONES DE FILOSOFIA</t>
  </si>
  <si>
    <t>[Balbuena, David Hernando] Univ Pedag Tecnol Colombia, Tunja, Colombia</t>
  </si>
  <si>
    <t>Balbuena, DH (corresponding author), Univ Pedag Tecnol Colombia, Tunja, Colombia.</t>
  </si>
  <si>
    <t>david.balbuena@uptc.edu.co</t>
  </si>
  <si>
    <t>FABRIS A, 2021, AMBIGUOUS LOVE</t>
  </si>
  <si>
    <t>UNIV PEDAGOGICA &amp; TECNOLOGICA COLOMBIA</t>
  </si>
  <si>
    <t>TUNJA</t>
  </si>
  <si>
    <t>AVE CENTRAL NORTE, KM 3 VIA PAIPA, TUNJA, BOYACA 00000, COLOMBIA</t>
  </si>
  <si>
    <t>0123-5095</t>
  </si>
  <si>
    <t>2389-9441</t>
  </si>
  <si>
    <t>CUEST FILOS</t>
  </si>
  <si>
    <t>Cuest. Filos.</t>
  </si>
  <si>
    <t>10.19053/01235095.v8.n31.2022.15299</t>
  </si>
  <si>
    <t>Philosophy</t>
  </si>
  <si>
    <t>7K5NL</t>
  </si>
  <si>
    <t>WOS:000905329300001</t>
  </si>
  <si>
    <t>Miguel Angel, R; Vasquez, JLC</t>
  </si>
  <si>
    <t>Castillo-Reina, Miguel Angel; Vasquez, Jose Luis Cruz</t>
  </si>
  <si>
    <t>TOURIST SECTOR INNOVATION: AN APPROACH TO THE SERVICES AND THE CO-CREATION OF EXPERIENCES</t>
  </si>
  <si>
    <t>ANUARIO TURISMO Y SOCIEDAD</t>
  </si>
  <si>
    <t>innovation; tourism; competitiveness; co-creation; experience economy</t>
  </si>
  <si>
    <t>DOMINANT LOGIC; HOSPITALITY; KNOWLEDGE; MANAGEMENT; PATTERNS; ECONOMY; AIRBNB; NEED</t>
  </si>
  <si>
    <t>In recent years the term innovation has been widely used to describe the generation of new processes or products in the economy, mainly in capital- and labour-intensive sectors (manufacturing). Given the importance of tourism in the global economy, it is considered appropriate to review how innovation affects its competitiveness. The introduction presents some topics of current interest to the sector. The second section presents some characteristic and distinctive features of the service economy. The third section presents approaches to innovation in services and tourism to conclude with the presentation of the experiential economy and co-creation as a potential tool for innovation. Finally, partial conclusions are presented. It is argued that innovation in tourism must be seen as a co-creation process and that the sector is not simply mimicking but that it requires an analysis framework of its own.</t>
  </si>
  <si>
    <t>[Castillo-Reina, Miguel Angel] Univ Pedag &amp; Tecnol Colombia, Fac Ciencias Econ &amp; Adm, Grp CREPIB, Tunja, Colombia; [Vasquez, Jose Luis Cruz] Univ Pedag &amp; Tecnol Colombia, Escuela Econ, Tunja, Colombia</t>
  </si>
  <si>
    <t>Miguel Angel, R (corresponding author), Univ Pedag &amp; Tecnol Colombia, Fac Ciencias Econ &amp; Adm, Grp CREPIB, Tunja, Colombia.</t>
  </si>
  <si>
    <t>miguelangel.castillo@uptc.edu.co; jose.cruz@uptc.edu.co</t>
  </si>
  <si>
    <t>ABERNATHY WJ, 1985, RES POLICY, V14, P3, DOI 10.1016/0048-7333(85)90021-6; Aria M, 2017, J INFORMETR, V11, P959, DOI 10.1016/j.joi.2017.08.007; Barcet A, 2010, ELGAR ORIG REF, P49; Binkhorst E., 2008, REV INVESTIGACION TU, V1, P40; Binkhorst E, 2009, J HOSP MARKET MANAG, V18, P311, DOI 10.1080/19368620802594193; Boisier S., 1995, SERIE ENSAYOS; Boisier S, 2006, TERRITORIOS, P71; Brown T., 2010, DEV OUTREACH, V12, P29, DOI [https://doi.org/10.1596/1020-797X_12_1_29, DOI 10.1596/1020-797X_12_1_29, 10.1596/1020-797X_12_1_29]; Brown T, 2008, HARVARD BUS REV, V86, P84; BUTLER RW, 1980, CAN GEOGR-GEOGR CAN, V24, P5, DOI 10.1111/j.1541-0064.1980.tb00970.x; Calderon D., 2014, ANU TUR SOC, P17, DOI [10.18601/01207555.n15.02, DOI 10.18601/01207555.N15.02]; Campos AC, 2018, CURR ISSUES TOUR, V21, P369, DOI 10.1080/13683500.2015.1081158; Carlborg P, 2014, SERV IND J, V34, P373, DOI 10.1080/02642069.2013.780044; Chen HM, 2010, PAC ASIA J ASSOC INF, V2, P1; Cherrett N., 2011, STUDIES PERSPECTIVES; Coombs R, 2000, ECON SCI TECHN INNOV, V18, P85; Cotelco Unicafam &amp; Instituto Distrital de Turismo de Bogota, 2018, EMPLEO SECTOR TURISM, V1; Drejer I, 2004, RES POLICY, V33, P551, DOI 10.1016/j.respol.2003.07.004; Duhigg C., 2019, PODER HABITOS QUE HA, V1; Edvardsson B, 2010, ELGAR ORIG REF, P301; Folstad A, 2018, J SERV THEOR PRACT, V28, P196, DOI 10.1108/JSTP-11-2014-0261; Gallaher M. P., 2006, J TECHNOL T, V31, P611, DOI DOI 10.1007/S10961-006-0018-4; Gallouj F, 2010, ELGAR ORIG REF, P1; Gallouj F, 2010, ELGAR ORIG REF, P27; Gascon J, 2015, J AGRAR CHANGE, V15, P499, DOI 10.1111/joac.12087; Gossling S, 2002, GLOBAL ENVIRON CHANG, V12, P283, DOI 10.1016/S0959-3780(02)00044-4; Green BN, 2006, J CHIROPR MED, V5, P101, DOI 10.1016/S0899-3467(07)60142-6; Guttentag D, 2015, CURR ISSUES TOUR, V18, P1192, DOI 10.1080/13683500.2013.827159; Hall CM, 2015, ROUTLEDGE HANDBOOK OF TOURISM AND SUSTAINABILITY, P1; Hall CM, 2008, CONTEMP GEOGR LEIS T, P1; Hjalager AM, 1997, TOURISM MANAGE, V18, P35, DOI 10.1016/S0261-5177(96)00096-9; Hjalager AM, 2002, TOURISM MANAGE, V23, P465, DOI 10.1016/S0261-5177(02)00013-4; Hjalager AM, 2010, TOURISM MANAGE, V31, P1, DOI 10.1016/j.tourman.2009.08.012; Howells J, 2001, OECD PROC, P55; Jensen MB, 2007, RES POLICY, V36, P680, DOI 10.1016/j.respol.2007.01.006; Keller P., 2006, INNOVATION GROWTH TO, P17, DOI DOI 10.1787/9789264025028-EN; Kimbell L, 2011, DES CULT, V3, P285, DOI 10.2752/175470811X13071166525216; Lew AA, 2014, BLACKW COMPANION GEO, P1, DOI 10.1002/9781118474648; Marasco A, 2018, INT J CONTEMP HOSP M, V30, P2364, DOI [10.1108/ijchm-01-2018-0043, 10.1108/IJCHM-01-2018-0043]; Mazzucato M., 2019, VALOR COSAS QUIEN PR; Meneses T. A., 2013, REV INVESTIGACION DE, V3, P101; Miles I., 2011, INNOVACION PERSPECTI, Vxxi, P287; Montresor S, 2018, TOURISM ECON, V24, P765, DOI 10.1177/1354816618773189; Moritz S., 2005, SERVICE DESIGN PRACT; Najda-Janoszka M, 2014, PROCD SOC BEHV, V110, P190, DOI 10.1016/j.sbspro.2013.12.862; Novick M., 2018, SERIE POLITICAS SOCI, V228; ocde, 2006, INNOVATION GROWTH TO, DOI [10.1787/9789264025028-en, DOI 10.1787/9789264025028-EN]; ocde, 2005, MAN OSL GUIA REC INT; OIT, 2016, EMPL AT MUND RET PER; Omerzel DG, 2016, INT J CONTEMP HOSP M, V28, P516, DOI 10.1108/IJCHM-10-2014-0510; oMT, 2019, INT TOUR HIGHL, DOI [10.18111/9789284421152, DOI 10.18111/9789284421152]; omt, 2019, DEFINICIONES TURISMO, DOI [10.18111/9789284420858, DOI 10.18111/9789284420858]; ORGANIZACION INTERNACIONAL DEL TRABAJO (OIT), 2017, PAUT OIT TRAB DEC TU; ormet Boyaca, 2018, ENTR OP PROGR ED SUP; Oskam J, 2016, J TOUR FUTURES, V2, P22, DOI 10.1108/JTF-11-2015-0048; Pikkemaat B, 2016, INT J CULT TOUR HOSP, V10, P343, DOI 10.1108/IJCTHR-06-2016-0064; Pine B. J, 2011, EXPERIENCE EC; Pine BJ, 2013, ELGAR ORIG REF, P21; Pine BJ, 1998, HARVARD BUS REV, V76, P97; Prahalad C.K., 2004, STRATEGY LEADERSHIP, V32, P4, DOI DOI 10.1108/10878570410699249; Prahalad CK, 2000, HARVARD BUS REV, V78, P79; Robayo Acuña Paula Viviana, 2016, suma neg., V7, P125, DOI 10.1016/j.sumneg.2016.02.007; Robbins P., 2017, INT J ENTREPRENEURSH, V21, DOI [https://doi.org/10.1504/IJEIM.2017.083454, DOI 10.1504/IJEIM.2017.083454]; Rodriguez F., 2009, REV NICOLAITA ESTUDI, V6, P9; RODRÍGUEZ MORENO DIANA CRISTINA, 2017, Rev.fac.cienc.econ., V25, P193, DOI 10.18359/rfce.3073; Rodríguez Torres Federico, 2012, Estud. perspect. tur., V21, P372; Rodriguez-Moreno D. C., 2017, VESTIGIUM IRE, V11, P186; Rodriguez-Moreno D. C., 2018, FACTORES EXITO COMPE, V1; Romero I, 2020, CURR ISSUES TOUR, V23, P641, DOI 10.1080/13683500.2019.1572717; Ronningen M, 2014, ELGAR ORIG REF, P27; Bellon ER, 2014, BRIDG TOUR THEOR PRA, V5, P211, DOI 10.1108/S2042-144320140000005027; Rutty M, 2015, ROUTLEDGE HANDBOOK OF TOURISM AND SUSTAINABILITY, P36; Schumpeter J. A., 1997, TEORIA DESENVOLVIMIE, V2; SCHUMPETER Joseph A., 1996, CAPITALISMO SOCIALIS; Serrano-Amado A. -M., 2018, GEST AMBIENT, V21, P99, DOI [10.15446/ga.v21n1.69395, DOI 10.15446/GA.V21N1.69395]; Shaw G, 2011, TOURISM MANAGE, V32, P207, DOI 10.1016/j.tourman.2010.05.020; Smith A., 1994, INVESTIGACION NATURA, P424; Sorensen F, 2015, TOURISM MANAGE, V46, P336, DOI 10.1016/j.tourman.2014.07.009; Sorensen F, 2010, RES POLICY, V39, P313, DOI 10.1016/j.respol.2010.01.006; Stickdorn M., 2012, TOUCHPOINT, V4, P58; Stickdorn M, 2014, ROUTLEDGE HANDBOOK OF TOURISM MARKETING, P329; Sundbo J, 2008, NEW HORIZ ECON INNOV, P25; Tejada P, 2013, SERV IND J, V33, P749, DOI 10.1080/02642069.2013.740469; Telfer D.J., 2013, ROUTLEDGE HDB TOURIS, P213, DOI DOI 10.4324/9780203121108.CH21; Tranfield D, 2003, BRIT J MANAGE, V14, P207, DOI 10.1111/1467-8551.00375; Vargo Stephen L., 2008, European Management Journal, V26, P145, DOI 10.1016/j.emj.2008.04.003; Vargo SL, 2004, J MARKETING, V68, P1, DOI 10.1509/jmkg.68.1.1.24036; Vargo SL, 2008, J ACAD MARKET SCI, V36, P1, DOI 10.1007/s11747-007-0069-6; Vargo SL, 2017, INT J RES MARK, V34, P46, DOI 10.1016/j.ijresmar.2016.11.001; Volo S, 2006, J QUAL ASSUR HOSP TO, V6, P73, DOI 10.1300/J162v06n03_05; Voss C. A., 2007, INNOVATION SERVICES, V9, P97; Walker R., 2008, READING EC GEOGRAPHY, P97, DOI 10.1002/9780470755716.ch6; Weiermair K., 2006, INNOVATION GROWTH TO, P53, DOI DOI 10.1787/9789264025028-5-EN; Zehrer A, 2009, MANAG SERV QUAL, V19, P332, DOI 10.1108/09604520910955339; Zielinski G., 2015, ZARZDZANIE FINANS J, V13, P133</t>
  </si>
  <si>
    <t>UNIV EXTERNADO COLOMBIA</t>
  </si>
  <si>
    <t>CALLE 12 NO 1-17 ESTE, BOGOTA, 00000, COLOMBIA</t>
  </si>
  <si>
    <t>0120-7555</t>
  </si>
  <si>
    <t>2346-206X</t>
  </si>
  <si>
    <t>ANU TUR SOC</t>
  </si>
  <si>
    <t>Anu. Tur. Soc.</t>
  </si>
  <si>
    <t>10.18601/01207555.n30.02</t>
  </si>
  <si>
    <t>Hospitality, Leisure, Sport &amp; Tourism</t>
  </si>
  <si>
    <t>Social Sciences - Other Topics</t>
  </si>
  <si>
    <t>YI5ZB</t>
  </si>
  <si>
    <t>WOS:000743925000001</t>
  </si>
  <si>
    <t>Medina-Jaramillo, C; Gomez-Delgado, E; Lopez-Cordoba, A</t>
  </si>
  <si>
    <t>Medina-Jaramillo, Carolina; Gomez-Delgado, Edward; Lopez-Cordoba, Alex</t>
  </si>
  <si>
    <t>Improvement of the Ultrasound-Assisted Extraction of Polyphenols from Welsh Onion (Allium fistulosum) Leaves Using Response Surface Methodology</t>
  </si>
  <si>
    <t>Allium fistulosum L.; antioxidant activity; ultrasound-assisted extraction; response surface methodology; optimization; polyphenols</t>
  </si>
  <si>
    <t>ANTIOXIDANT ACTIVITY; BIOACTIVE COMPOUNDS; PHENOLIC-COMPOUNDS; OPTIMIZATION; FLAVONOIDS; L.</t>
  </si>
  <si>
    <t>Welsh onion (Allium fistulosum) leaves contain several bioactive compounds that can be extracted and used to develop new value-added products (e.g., functional foods and dietary supplements). In the current work, optimal ultrasound-assisted extraction (UAE) conditions to obtain extracts with high polyphenols content and DPPH (1,1-diphenyl-2-picrylhydrazil) scavenging activity were identified using response surface methodology. A complete 3(k) factorial design was used to evaluate the effect of different variables of the UAE (extraction temperature, time, and ethanol concentration) on the polyphenols content and the DPPH scavenging activity of the extracts. The best conditions for UAE to reach both the highest values of total polyphenols content (51.78 mg GAE/100 g) and DPPH scavenging activity (34.07 mg Trolox equivalents/100 g) were an extraction temperature of 60 degrees C, time of 10 min, and ethanol concentration of 70% v/v. The antioxidant activity of the extracts obtained at the optimal conditions was also evaluated by 2,2 '-azino-bis-3-ethylbenzthiazoline-6-sulphonic acid (ABTS) and ferric reducing antioxidant power (FRAP) assays obtaining values of 155.51 +/- 2.80 mu M Trolox/100 g and 1300.21 +/- 65.55 mu M Trolox/100 g, respectively. Moreover, these extracts were characterized by UHPLC-ESI+-Orbitrap-MS analysis finding that cyanidin (6.0 mg/kg) was the phenolic compound found in the highest amount followed by quercetin-3-glucoside (4.4 mg/kg).</t>
  </si>
  <si>
    <t>[Medina-Jaramillo, Carolina; Gomez-Delgado, Edward; Lopez-Cordoba, Alex] Univ Pedag &amp; Tecnol Colombia, Grp Invest Bioecon &amp; Sostenibilidad Agroalimentar, Escuela Adm Empresas Agr, Fac Secc Duitama, Carrera 18 Con Calle 22, Duitama 150461, Colombia</t>
  </si>
  <si>
    <t>Lopez-Cordoba, A (corresponding author), Univ Pedag &amp; Tecnol Colombia, Grp Invest Bioecon &amp; Sostenibilidad Agroalimentar, Escuela Adm Empresas Agr, Fac Secc Duitama, Carrera 18 Con Calle 22, Duitama 150461, Colombia.</t>
  </si>
  <si>
    <t>alex.lopez01@uptc.edu.co</t>
  </si>
  <si>
    <t>López-Córdoba, Alex/A-1368-2015</t>
  </si>
  <si>
    <t>López-Córdoba, Alex/0000-0003-2434-5743; Gomez Delgado, Edward Enrique/0000-0003-1620-5177; Medina-Jaramillo, Carolina/0000-0003-0623-912X</t>
  </si>
  <si>
    <t>Gobernacion de Boyaca through the PATRIMONIO AUTONOMO FONDO NACIONAL DE FINANCIAMIENTO PARA LA CIENCIA, LA TECNOLOGIA Y LA INNOVACION FRANCISCO JOSE DE CALDAS [75550]; Minciencias</t>
  </si>
  <si>
    <t>Gobernacion de Boyaca through the PATRIMONIO AUTONOMO FONDO NACIONAL DE FINANCIAMIENTO PARA LA CIENCIA, LA TECNOLOGIA Y LA INNOVACION FRANCISCO JOSE DE CALDAS; Minciencias</t>
  </si>
  <si>
    <t>This research was funded by Minciencias, and the Gobernacion de Boyaca through the PATRIMONIO AUTONOMO FONDO NACIONAL DE FINANCIAMIENTO PARA LA CIENCIA, LA TECNOLOGIA Y LA INNOVACION FRANCISCO JOSE DE CALDAS (project 75550. Conv. 865-2019).</t>
  </si>
  <si>
    <t>Ajayi G.O., 2019, J PHYTOPHARM, V8, P257, DOI [10.31254/phyto.2019.8509, DOI 10.31254/PHYTO.2019.8509]; Altemimi A, 2016, PLOS ONE, V11, DOI 10.1371/journal.pone.0148758; Baltacioglu H, 2021, VIB SPECTROSC, V113, DOI 10.1016/j.vibspec.2020.103204; Barbosa-Canovas GV, 2022, FOOD ENG REV, V14, P63, DOI 10.1007/s12393-021-09295-8; Benzie IFF, 1996, ANAL BIOCHEM, V239, P70, DOI 10.1006/abio.1996.0292; Sadeer NB, 2020, ANTIOXIDANTS-BASEL, V9, DOI 10.3390/antiox9080709; Viera VB, 2023, J CULIN SCI TECHNOL, V21, P156, DOI 10.1080/15428052.2021.1910095; BRAND-WILLIAMS W, 1995, FOOD SCI TECHNOL-LEB, V28, P25; Martinez-Patino JC, 2019, ULTRASON SONOCHEM, V51, P487, DOI 10.1016/j.ultsonch.2018.05.031; Carrera C, 2012, ANAL CHIM ACTA, V732, P100, DOI 10.1016/j.aca.2011.11.032; Chang T.-C., 2016, ADV MICROBIOL-NY, V6, P471, DOI [10.4236/aim.2016.67046, DOI 10.4236/AIM.2016.67046]; Chemat F, 2011, ULTRASON SONOCHEM, V18, P813, DOI 10.1016/j.ultsonch.2010.11.023; Chen F, 2007, ULTRASON SONOCHEM, V14, P767, DOI 10.1016/j.ultsonch.2006.12.011; Chien WJ, 2022, CURR RES FOOD SCI, V5, P278, DOI 10.1016/j.crfs.2022.01.013; Cirak C, 2022, S AFR J BOT, V147, P425, DOI 10.1016/j.sajb.2022.02.006; d'Alessandro LG, 2012, SEP PURIF TECHNOL, V93, P42, DOI 10.1016/j.seppur.2012.03.024; DEWHALLEY CV, 1990, BIOCHEM PHARMACOL, V39, P1743, DOI 10.1016/0006-2952(90)90120-A; El-Hadidy E. M., 2014, Annals of Agricultural Science (Cairo), V59, P33, DOI 10.1016/j.aoas.2014.06.005; FAOSTAT, FOOD AGR DAT; Gallo M, 2019, HELIYON, V5, DOI 10.1016/j.heliyon.2019.e01526; Ghitescu RE, 2015, ULTRASON SONOCHEM, V22, P535, DOI 10.1016/j.ultsonch.2014.07.013; Gonzalez-de-Peredo AV, 2021, ANTIOXIDANTS-BASEL, V10, DOI 10.3390/antiox10111755; Hanen N., 2012, SCI HLTH SOCIAL ASPE, P343; Hemwimol S, 2006, ULTRASON SONOCHEM, V13, P543, DOI 10.1016/j.ultsonch.2005.09.009; ICH, 2017, ICH QUAL GUIDEL, V5, P127; Karabegovic I, 2011, CHINESE J CHEM ENG, V19, P504, DOI 10.1016/S1004-9541(11)60013-X; Kumar K, 2021, ULTRASON SONOCHEM, V70, DOI 10.1016/j.ultsonch.2020.105325; Kuntzler SG, 2018, INT J BIOL MACROMOL, V117, P800, DOI 10.1016/j.ijbiomac.2018.05.224; Kurnia D, 2021, MOLECULES, V26, DOI 10.3390/molecules26237175; Lanzotti V, 2014, PHYTOCHEM REV, V13, P769, DOI 10.1007/s11101-014-9366-0; Medina-Jaramillo C, 2022, FOODS, V11, DOI 10.3390/foods11050641; Mrkonjic Z, 2021, J APPL RES MED AROMA, V24, DOI 10.1016/j.jarmap.2021.100333; Park YS, 2009, J MED FOOD, V12, P1057, DOI 10.1089/jmf.2009.0018; Piechowiak T, 2020, LWT-FOOD SCI TECHNOL, V117, DOI 10.1016/j.lwt.2019.108614; Poojary MM, 2017, J FOOD COMPOS ANAL, V61, P28, DOI 10.1016/j.jfca.2017.04.007; Re R, 1999, FREE RADICAL BIO MED, V26, P1231, DOI 10.1016/S0891-5849(98)00315-3; Galdon BR, 2008, J FOOD SCI, V73, pC599, DOI 10.1111/j.1750-3841.2008.00903.x; Rubatzky V.E., 1997, WORLD VEGETABLES PRI; Santas J, 2008, FOOD CHEM, V107, P1210, DOI 10.1016/j.foodchem.2007.09.056; Shreelakshmi SV, 2022, J SCI FOOD AGR, V102, P567, DOI 10.1002/jsfa.11385; Siddeeg A, 2021, SAUDI J BIOL SCI, V28, P1633, DOI 10.1016/j.sjbs.2020.11.064; Siddiq M, 2013, FOOD CHEM, V136, P803, DOI 10.1016/j.foodchem.2012.09.023; Sierra LJ, 2020, REV BRAS FARMACOGN, V30, P69, DOI 10.1007/s43450-020-00024-6; Singh B., 2017, INDIAN J HILL FARMIN, V30, P201; SINGLETON V. L., 1965, AMER J ENOL VITICULT, V16, P144; Slimestad R, 2007, J AGR FOOD CHEM, V55, P10067, DOI 10.1021/jf0712503; Stajner D, 2006, PHYTOTHER RES, V20, P581, DOI 10.1002/ptr.1917; Tigu AB, 2021, MOLECULES, V26, DOI 10.3390/molecules26030574; Tomsik A, 2016, ULTRASON SONOCHEM, V29, P502, DOI 10.1016/j.ultsonch.2015.11.005; Vlase L, 2013, DIG J NANOMATER BIOS, V8, P457; Paz JEW, 2015, ULTRASON SONOCHEM, V22, P474, DOI 10.1016/j.ultsonch.2014.06.001; Yusoff IM, 2022, FOOD RES INT, V151, DOI 10.1016/j.foodres.2022.111268; Zhao SN, 2012, ULTRASON SONOCHEM, V19, P22, DOI 10.1016/j.ultsonch.2011.05.012; Zolfaghari B, 2021, PHYTOCHEM ANALYSIS, V32, P84, DOI 10.1002/pca.2924</t>
  </si>
  <si>
    <t>10.3390/foods11162425</t>
  </si>
  <si>
    <t>4B7GX</t>
  </si>
  <si>
    <t>WOS:000845942000001</t>
  </si>
  <si>
    <t>Patino-Cuervo, D; Pineda-Caro, DY; Torres-Torres, AM; Pulido-Corts, O</t>
  </si>
  <si>
    <t>Patino-Cuervo, Daniela; Pineda-Caro, Diana Yicela; Torres-Torres, Aura Marcela; Pulido-Cortes, Oscar</t>
  </si>
  <si>
    <t>Produccion cientifica sobre educacion STEM en Latinoamerica: un estudio bibliometrico</t>
  </si>
  <si>
    <t>PRAXIS-COLOMBIA</t>
  </si>
  <si>
    <t>STEM; Education; Latin America; Bibliometrics</t>
  </si>
  <si>
    <t>EDUCATION</t>
  </si>
  <si>
    <t>This study aimed to identify the progress of scientific production on education in science, technology, engineering and mathematics in Latin America. For this, a bibliometric analysis applied to the metadata of Scopus and Web of Science (WoS) publications was carried out. The results obtained allow to establish the temporal evolution of the publications identified from 2009 to October 2020.The type of documents, journals and their classification according to SCImago Journal &amp; Country Rank (SJR) and Journal Citation Report were also identified. (JCR), countries of publication, academic events, main authors and citations made. The bibliometric indicators identified have made it possible to demonstrate efforts to strengthen science and technology education in Latin America; However, the need to promote the production of specialized documents in these areas is also evoked, since when compared with other countries, it is still limited.</t>
  </si>
  <si>
    <t>[Patino-Cuervo, Daniela; Pineda-Caro, Diana Yicela; Torres-Torres, Aura Marcela; Pulido-Cortes, Oscar] Univ Pedag &amp; Tecnol Colombia, Tunja, Colombia</t>
  </si>
  <si>
    <t>Patino-Cuervo, D (corresponding author), Univ Pedag &amp; Tecnol Colombia, Tunja, Colombia.</t>
  </si>
  <si>
    <t>daniela.patino@uptc.edu.co; diana.pineda01@uptc.edu.co; aura.torres01@uptc.edu.co; oscar.pulido@uptc.edu.co</t>
  </si>
  <si>
    <t>Patino Cuervo, Daniela/0000-0002-8928-3910</t>
  </si>
  <si>
    <t>Almenning O.M., 2019, 2019 IEEE FRONTIERS, P1, DOI [10.1109/SEST.2019.8849067, DOI 10.1109/FIE43999.2019.9028417]; Aris N, 2019, EDUC SCI, V9, DOI 10.3390/educsci9020073; Arredondo Trapero Florina Guadalupe, 2019, Revista Col. San Luis, V9, P137, DOI 10.21696/rcsl9182019947; Bordons M, 1999, REV ESP CARDIOL, V52, P790, DOI 10.1016/S0300-8932(99)75008-6; Higuita LC, 2012, ESTUD GERENC, V28, P213; Ching-Chiang LWC, 2020, J NEW APPROACHES EDU, V9, P194, DOI 10.7821/naer.2020.7.529; Fernandez RC, 2020, PIXEL-BIT, P51, DOI 10.12795/pixelbit.73672; Castro A., 2020, UTOPIA PRAXIS LATINO, V25, P197; Celis D.A., 2021, REV BOL REDIPE, V10, P286; CNI, 2021, ED STEAM; Coto Jiménez Marvin, 2020, E-Ciencias de la Información, V10, P184, DOI 10.15517/eci.v10i1.39883; de Jesus MA, 2020, IEEE GLOB ENG EDUC C, P1013, DOI 10.1109/EDUCON45650.2020.9125239; De Oliveira L., 2016, 2016 IEEE FRONTIERS, P1, DOI [10.1109/FIE.2016.7757621, DOI 10.1109/FIE.2016.7757621]; Domingo M, 2013, PIXEL BIT REV MED ED, V42, P115; European Commission, 2015, INN WAYS MAK SCI ED; Fan SC, 2017, INT J TECHNOL DES ED, V27, P107, DOI 10.1007/s10798-015-9328-x; Fernandez-Limon C, 2018, J EDUC TEACHING, V44, P71, DOI 10.1080/02607476.2018.1422623; Ferrada C., 2019, REV ESPACIOS, V40; Fiuza K., 2019, INT S PROJECT APPROA, V9, P309; Fonseca S, 2018, PROC FRONT EDUC CONF; Gil-Domenech Dolors, 2020, Modelling and Simulation in Management Sciences. Proceedings of the International Conference on Modelling and Simulation in Management Sciences (MS-18). Advances in Intelligent Systems and Computing (AISC 894), P193, DOI 10.1007/978-3-030-15413-4_15; Gras M., 2021, ESTRATEGIA EDUCACION; Gregorio-Chaviano Orlando, 2020, Biomed., V40, P104; Ha C. T., 2020, EURASIA J MATH SCI T, V16, DOI DOI 10.29333/EJMSTE/8500; Hinojo-Lucena FJ, 2020, SUSTAINABILITY-BASEL, V12, DOI 10.3390/su12062279; How ML, 2019, EDUC SCI, V9, DOI 10.3390/educsci9030184; Johnson CC, 2012, SCHOOL SCI MATH, V112, P45, DOI 10.1111/j.1949-8594.2011.00110.x; Jolly A., 2014, ED WEEK, P2; Jurado E, 2020, SENSORS-BASEL, V20, DOI 10.3390/s20133698; Juskeviciene A, 2021, COMPUT APPL ENG EDUC, V29, P209, DOI 10.1002/cae.22324; Marrero, 2014, FLORIDA ASS TEACHER, V1; Merigo JM, 2017, OMEGA-INT J MANAGE S, V73, P37, DOI 10.1016/j.omega.2016.12.004; Montgomery C, 2018, J EDUC TEACHING, V44, P2, DOI 10.1080/02607476.2018.1422606; Moreno Wilson Enrique Colmenares, 2017, Rev. Fac. Nac. Agron. Medellín, V70, P8234; Mori A, 2020, RETO ED SIGLO 21 ENF; NSB, 2008, SCI ENG IND 2008; Nunez J., 2020, IEEE WORLD C ENG ED, P1, DOI [10.1109/EDUNINE48860.2020.9149486, DOI 10.1109/EDUNINE48860.2020.9149486]; Ozkaya A., 2019, BARTIN UNIVERSITESI, V8, P590, DOI 10.14686/buefad.450825; Puebla-Martinez B., 2018, REVISTAS CIENTIFICAS, P39; Rockland R., 2010, J TECHNOLOGY STUDIES, V36, P53, DOI DOI 10.21061/JOTS.V36I1.A.7; Salas D., 2016, INGENIERIA INNOVACIO, V4; Santillan J., 2019, CIENCIA DIGITAL, V3, P212, DOI [10.33262/cienciadigital.v3i3.4..847, DOI 10.33262/CIENCIADIGITAL.V3I3.4..847]; Siemens Stiftun, 2020, EXPT RED STEM LAT; STEM-Academia, NOSOTROS; Tovar D., 2019, LATIN AM J PHYS ED, V13, P1; Uguz A.P., 2017, J ED INSTR STUD WORL, V7, P118; Unesco, 2016, IBE ESP AL STEM ED; Vasquez A, 2021, IMPORTANCIA EDUCAR F; Vega F., 2019, 2019 IEEE SCI HUMANI, P1, DOI [10.1109/SHIRCON48091.2019.9024744, DOI 10.1109/SHIRCON48091.2019.9024744]; Virtual Educa, VIRT ED QUIEN SOM; Webb DL, 2020, SCHOOL SCI MATH, V120, P209, DOI 10.1111/ssm.12403; WEF, 2020, FUT JOBS REP 2020; Yuan-Chung Yu, 2016, International Journal of Information and Education Technology, V6, P113, DOI 10.7763/IJIET.2016.V6.668</t>
  </si>
  <si>
    <t>UNIV MAGDALENA</t>
  </si>
  <si>
    <t>SANTA MARTA</t>
  </si>
  <si>
    <t>CARRERA 32 NO 22-08, SECTOR SAN PEDRO ALEJANDRO, SANTA MARTA, MAGDALENA 00000, COLOMBIA</t>
  </si>
  <si>
    <t>1657-4915</t>
  </si>
  <si>
    <t>2389-7856</t>
  </si>
  <si>
    <t>PRAX-COLOMB</t>
  </si>
  <si>
    <t>Prax.-Colomb.</t>
  </si>
  <si>
    <t>10.21676/23897856.3787</t>
  </si>
  <si>
    <t>8B8RL</t>
  </si>
  <si>
    <t>WOS:000917188300001</t>
  </si>
  <si>
    <t>de la Torre, AR</t>
  </si>
  <si>
    <t>de la Torre, Alfredo Rocha</t>
  </si>
  <si>
    <t>Editorial</t>
  </si>
  <si>
    <t>Editorial Material</t>
  </si>
  <si>
    <t>[de la Torre, Alfredo Rocha] Univ Pedag &amp; Tecnol Colombia, Tunja, Colombia</t>
  </si>
  <si>
    <t>de la Torre, AR (corresponding author), Univ Pedag &amp; Tecnol Colombia, Tunja, Colombia.</t>
  </si>
  <si>
    <t>5V4VZ</t>
  </si>
  <si>
    <t>WOS:000877229500001</t>
  </si>
  <si>
    <t>Ramos, SP</t>
  </si>
  <si>
    <t>Patino Ramos, Stephanie</t>
  </si>
  <si>
    <t>The Roots of Traditional Literature Interwoven in the Magical Universe of Harry Potter</t>
  </si>
  <si>
    <t>PALABRA</t>
  </si>
  <si>
    <t>fantastic literature; fatality; Harry Potter; the unnamable; traditional literature; traditional stories</t>
  </si>
  <si>
    <t>The purpose of this paper is to highlight both, the validity and importance of traditional literature, in the creation of the diverse imaginary worlds offered by contemporary literature for young people. To this end, some of the topics and motifs of traditional literature that weave the story of Harry Potter are analyzed. The focus is specifically on making an exhaustive comparative review on the appearance of the fatality of death, and the figure of the unnamable in traditional stories compiled by Wilhelm and Jacob Grimm and published in the first edition of Kinder- and Hausmarchen. By relating the stories of the Grimm brothers with some intradiegetic tales of the Harry Potter saga, it is evident how some stories are adapted from mythological tales and updated to a contemporary magical universe.</t>
  </si>
  <si>
    <t>[Patino Ramos, Stephanie] Univ Pedag &amp; Tecnol Colombia, Literatura, Tunja, Colombia</t>
  </si>
  <si>
    <t>Ramos, SP (corresponding author), Univ Pedag &amp; Tecnol Colombia, Literatura, Tunja, Colombia.</t>
  </si>
  <si>
    <t>stephanie.patino@uptc.edu.co</t>
  </si>
  <si>
    <t>Baquedano Morales Teresa, 2008, EPOS, V24, P157; Budge E. A., 2005, LIT ANCIENT EGYPTIAN; Callejo Jesus, 1994, DUENDES; Colodro Max, 2000, SILENCIO PALABRA APR; de la Hoz Freja, 2021, ESTUD LIT COLOMB, P155; Garrosa Gude Jose Luis, 2008, EDUCACION BIBLIOTECA, V20, P91; GILL SD, 1977, HIST RELIGIONS, V17, P143, DOI 10.1086/462785; Grimm Brothers, 2014, COMPLETE 1 EDITION O, P85; Havelock Eric, 2008, MUSA APRENDE ESCRIBI; Kluckhohn Clyde, 1966, MYTH LIT CONT THEORY, P33; Miguez Eduardo Jose, 2012, MEM AM, V20, P129; Moss Maria, 2000, MIRROR WRITING RE CO, P193; Rodriguez Jaime, 2011, MUERTE 7 VISIONES RE, P29; Rowling J. K., 1998, HARRY POTTER CAMARA; Rowling J. K., 2005, HARRY POTTER MISTERI; Rowling J. K., 2008, CUENTOS BEEDLE BARDO; Rowling J. K., 1997, HARRY POTTER PIEDRA; Rowling J. K., 2007, HARRY POTTER RELIQUI</t>
  </si>
  <si>
    <t>UNIV PEDAGOGICA &amp; TECNOLOGICA COLOMBIA, INST INVESTIG &amp; FORMACION AVANZADA</t>
  </si>
  <si>
    <t>CARRETERA CENTRAL DEL NORTE, TUNJA, BOY 00000, COLOMBIA</t>
  </si>
  <si>
    <t>0121-8530</t>
  </si>
  <si>
    <t>2346-3864</t>
  </si>
  <si>
    <t>Palabra</t>
  </si>
  <si>
    <t>e13779</t>
  </si>
  <si>
    <t>10.19053/01218530.n43.2022.13779</t>
  </si>
  <si>
    <t>Literature</t>
  </si>
  <si>
    <t>5D3FG</t>
  </si>
  <si>
    <t>WOS:000864831600004</t>
  </si>
  <si>
    <t>Hernandez, EHM; Coronado, ACM; Chaparro, AC; Lopez, CM</t>
  </si>
  <si>
    <t>Manjarres Hernandez, Elsa Helena; Morillo Coronado, Ana Cruz; Chaparro, Agobardo Cardenas; Lopez, Claudia Merchan</t>
  </si>
  <si>
    <t>Yield, phenology and triterpene saponins in Colombian quinoa</t>
  </si>
  <si>
    <t>FRONTIERS IN SUSTAINABLE FOOD SYSTEMS</t>
  </si>
  <si>
    <t>oleanolic acid; Chenopodium quinoa; ancestral cultivation; phenology; saponins; grain quality</t>
  </si>
  <si>
    <t>CHENOPODIUM-QUINOA; WILLD.; TRAITS; STRESS</t>
  </si>
  <si>
    <t>Exploring yield, phenology and their relationship with secondary metabolites in seeds provides a fundamental analysis that expands knowledge on the nutritional quality of seeds and the effect on productive potential. This knowledge is fundamental when improving or selecting nutritionally important crops, including Chenopodium quinoa Willd, which has excellent nutritional properties and contributes to global food security. This species contains saponins, a metabolite that imparts a bitter taste and can be highly toxic to consumers in large quantities. Therefore, the identification and selection of genotypes according to their saponin contents and outstanding agronomic characteristics are fundamental objectives for the genetic improvement programs of these species. Therefore, the objective of this research was to evaluate the characteristics of the grain, the phenology and the saponin content of 30 C. quinoa accessions with an aim to select or relate genotypes according to their yield and grain quality. The accessions were sown using randomized complete blocks (RCB) with nine repetitions for each material. Seven FAO-defined descriptors were evaluated to characterize the grain and physiological maturity. Saponin was extracted using microwave, and the quantification was done with high-performance liquid chromatography (HPLC) which a UV-VIS detector at 277 nm wavelength. The accessions were classified according to their phenology: semi-late (56.7%), late (36.7%), and semi-early (3.3%). The total triterpene saponin content varied from 0.018 to 0.537%. The multivariate and cluster analyses formed groups of accessions with good yields (&gt;62.02 g of seeds per plant) and desirable grain morphological characteristics. The more suitable accessions for the production of saponins are Quinoa semiamarga (0.537%), Quinoa peruana (0.412%) and Amarilla de marangani (0.305%). Quinoa real and Quinoa primavera are more suitable for food products, which can be used as parents in future quinoa genetic improvement programs in Colombia.</t>
  </si>
  <si>
    <t>[Manjarres Hernandez, Elsa Helena; Morillo Coronado, Ana Cruz] Univ Pedag &amp; Tecnol Colombia, Grp CIDE Competitividad Innovac &amp; Desarrollo Empr, Fac Ciencias Agr, Tunja, Colombia; [Chaparro, Agobardo Cardenas; Lopez, Claudia Merchan] Univ Pedag &amp; Tecnol Colombia, Fac Ciencias, Grp Quim Fis Mol &amp; Modelamiento Computac QUIMOL, Tunja, Colombia</t>
  </si>
  <si>
    <t>Hernandez, EHM (corresponding author), Univ Pedag &amp; Tecnol Colombia, Grp CIDE Competitividad Innovac &amp; Desarrollo Empr, Fac Ciencias Agr, Tunja, Colombia.</t>
  </si>
  <si>
    <t>elsa.manjarres@uptc.edu.co</t>
  </si>
  <si>
    <t>Alandia G, 2020, GLOB FOOD SECUR-AGR, V26, DOI 10.1016/j.gfs.2020.100429; Alizadeh-Bahaabadi G, 2022, INT J BIOL MACROMOL, V200, P61, DOI 10.1016/j.ijbiomac.2021.12.091; [Anonymous], 2017, R PACKAGE CORRPLOT V; Asher A, 2020, SCI HORTIC-AMSTERDAM, V272, DOI 10.1016/j.scienta.2020.109534; Bazihizina N, 2022, J EXP BOT, V73, P292, DOI 10.1093/jxb/erab388; Bertero HD, 2008, EUR J AGRON, V28, P186, DOI 10.1016/j.eja.2007.07.002; Bioversity International, 2013, US, P52; Bonifacio A, 2019, CIENC INVESTIG AGRAR, V46, P113, DOI 10.7764/rcia.v46i2.2146; Castro-Alba V, 2019, FOOD SCI NUTR, V7, P3902, DOI 10.1002/fsn3.1247; Colque-Little C, 2021, BMC PLANT BIOL, V21, DOI 10.1186/s12870-020-02804-7; Colson E, 2020, MOLECULES, V25, DOI 10.3390/molecules25071731; Core Team R., 2013, R LANG ENV STAT COMP; D'Andrea KE, 2006, CROP SCI, V46, P1266, DOI 10.2135/cropsci2005.07-0195; De Bock P, 2021, PLANTS-BASEL, V10, DOI 10.3390/plants10122689; De Santis G, 2018, CROP PASTURE SCI, V69, P1264, DOI 10.1071/CP18143; De Santis G, 2016, ITAL J AGRON, V11, P277, DOI 10.4081/ija.2016.774; Delaney J., 2015, EFECTO FOTOPERIODO T, P1; DI RIENZO J. A., 2020, INFOSTAT VERSION 202; El Hazzam K, 2020, MOLECULES, V25, DOI 10.3390/molecules25051059; Fan XL, 2020, J CEREAL SCI, V93, DOI 10.1016/j.jcs.2020.102966; Garcia M. A., 2018, INFORMADOR T CNICO, V82, P241, DOI [10.23850/22565035.1451, DOI 10.23850/22565035.1451]; Solaesa AG, 2020, FOOD HYDROCOLLOID, V105, DOI 10.1016/j.foodhyd.2020.105770; García-Parra Miguel, 2019, Agron. colomb., V37, P144, DOI 10.15446/agron.colomb.v37n2.76219; Granado-Rodriguez S, 2021, PLANTS-BASEL, V10, DOI 10.3390/plants10102128; Granado-Rodriguez S, 2021, FRONT PLANT SCI, V12, DOI 10.3389/fpls.2021.649132; Han YM, 2019, LWT-FOOD SCI TECHNOL, V114, DOI 10.1016/j.lwt.2019.108381; Hussain MI, 2020, PLANTS-BASEL, V9, DOI 10.3390/plants9121763; Josse J, 2016, J STAT SOFTW, V70; Kassambara Alboukadel, 2020, CRAN; Khalifa W., 2018, MIDDLE E J AGR RES, V7, P671; KOZIOL M J, 1992, Journal of Food Composition and Analysis, V5, P35, DOI 10.1016/0889-1575(92)90006-6; Le S, 2008, J STAT SOFTW, V25, P1, DOI 10.18637/jss.v025.i01; Leon-Roque N, 2019, TALANTA, V204, P576, DOI 10.1016/j.talanta.2019.06.014; Lesjak J, 2017, FRONT PLANT SCI, V8, DOI 10.3389/fpls.2017.00352; Lim JG, 2020, FOOD SCI NUTR, V8, P694, DOI 10.1002/fsn3.1358; Lin MY, 2019, MOLECULES, V24, DOI 10.3390/molecules24132512; Lu DL, 2016, J INTEGR AGR, V15, P309, DOI 10.1016/S2095-3119(15)61095-4; Manjarres-Hernandez EH, 2021, PLANTS-BASEL, V10, DOI 10.3390/plants10071339; Mastebroek HD, 2002, EUPHYTICA, V125, P427, DOI 10.1023/A:1016030129541; Matias J, 2021, J AGRON CROP SCI, V207, P481, DOI 10.1111/jac.12495; Mhada M, 2020, FOODS, V9, DOI 10.3390/foods9050660; Mignone C.M., 2007, P CONGRESO INT QUINU, P23; Ahmed IMA, 2021, INT J FOOD SCI TECH, V56, P3726, DOI 10.1111/ijfs.15011; Morales Andrea, 2017, Front Plant Sci, V8, P216, DOI 10.3389/fpls.2017.00216; MORILLO CORONADO ANA CRUZ, 2020, Rev.Bio.Agro, V18, P84, DOI 10.18684/bsaa.v18n1.1416; Morton MJL, 2019, PLANT J, V97, P148, DOI 10.1111/tpj.14189; Naheed N, 2022, ENVIRON GEOCHEM HLTH, V44, P1409, DOI 10.1007/s10653-021-01165-w; Ng CY, 2021, FOOD FRONTIERS, V2, P329, DOI 10.1002/fft2.109; Pathan S, 2022, NUTRIENTS, V14, DOI 10.3390/nu14030558; Rafik S, 2021, PLANTS-BASEL, V10, DOI 10.3390/plants10061133; Rehman HU, 2022, PLANTS-BASEL, V11, DOI 10.3390/plants11030371; Reynolds M, 2020, PLANT SCI, V295, DOI 10.1016/j.plantsci.2019.110396; Ruiz FF, 2021, ENVIRON DEV SUSTAIN, V23, P6337, DOI 10.1007/s10668-020-00875-y; Sharma S, 2022, LWT-FOOD SCI TECHNOL, V160, DOI 10.1016/j.lwt.2022.113256; Stoleru V, 2022, FOOD BIOSCI, V45, DOI 10.1016/j.fbio.2021.101494; Tapia M. E., 2014, RAZAS QUINUAS PERU; Tovar JC, 2022, PLANT DIRECT, V6, DOI 10.1002/pld3.384; Urdanegui P, 2021, AGROINDUSTRIAL SCI, V11, P63; Ramírez Claudia Veloza, 2016, rev.udcaactual.divulg.cient., V19, P325; Villacis C., 2018, ESTUDIO PZARA EXTRAC, P129; Villacres E, 2022, PLANTS-BASEL, V11, DOI 10.3390/plants11020213; Yao DP, 2020, FOOD CHEM, V310, DOI 10.1016/j.foodchem.2019.125817</t>
  </si>
  <si>
    <t>FRONTIERS MEDIA SA</t>
  </si>
  <si>
    <t>LAUSANNE</t>
  </si>
  <si>
    <t>AVENUE DU TRIBUNAL FEDERAL 34, LAUSANNE, CH-1015, SWITZERLAND</t>
  </si>
  <si>
    <t>2571-581X</t>
  </si>
  <si>
    <t>FRONT SUSTAIN FOOD S</t>
  </si>
  <si>
    <t>Front. Sustain. Food Syst.</t>
  </si>
  <si>
    <t>NOV 18</t>
  </si>
  <si>
    <t>10.3389/fsufs.2022.919885</t>
  </si>
  <si>
    <t>7U4GI</t>
  </si>
  <si>
    <t>WOS:000912090900001</t>
  </si>
  <si>
    <t>Gonzalez, SPE; Gonzalez, MCL</t>
  </si>
  <si>
    <t>Gonzalez, Sandra Paola Espinel; Gonzalez, Myriam Cecilia Leguizamon</t>
  </si>
  <si>
    <t>Internet Addiction in COVID-19 times. Prevention program</t>
  </si>
  <si>
    <t>REVISTA VIRTUAL UNIVERSIDAD CATOLICA DEL NORTE</t>
  </si>
  <si>
    <t>Internet Addiction (IA); Prevention; Prevention program</t>
  </si>
  <si>
    <t>The research arises from the emerging concern about the excessive use of the internet in pandemic ' s time and the harmful effects that may appear. This is how, under the methodological design of action research, the construction of an implementation plan of a primary prevention program, of Internet Addiction, is proposed, oriented to parents and teachers, from which habits and behaviors of responsible and healthy use of the Internet are promoted, in family and educational environments. The results are presented in four research cycles, where the instruments used with their respective design, application and analysis are recognized. It is highlighted that the data was collected virtually during the pandemic, using the Young test, from a group of people who voluntarily accepted the invitation, from which the sample was determined. It is concluded that there is concern about the consequences of hyperconnectivity that increased in pandemic ' s time. In this sense, the proposal contributes to work through information, awareness and training tools, in the teaching and promotion of responsible and positive behaviors around the use of technology as expressed by the participants who validated the program.</t>
  </si>
  <si>
    <t>[Gonzalez, Sandra Paola Espinel] Univ Pedag &amp; Tecnol Colombia, Fac Ciencias Educ, Aprendizaje med TIC, Tunja, Colombia; [Gonzalez, Myriam Cecilia Leguizamon] Univ Pedag &amp; Tecnol Colombia, Fac Ciencias Educ, Aplicadas &amp; Educ TIC, Tunja, Colombia</t>
  </si>
  <si>
    <t>Gonzalez, SPE (corresponding author), Univ Pedag &amp; Tecnol Colombia, Fac Ciencias Educ, Aprendizaje med TIC, Tunja, Colombia.</t>
  </si>
  <si>
    <t>sandra.espinel@uptc.edu.co; myriam.leguizamon@uptc.edu.co</t>
  </si>
  <si>
    <t>Benavides Mayumi Okuda, 2005, rev.colomb.psiquiatr., V34, P118; Choliz M., 2016, ADITEC EVALUACION PR; DEVIDA, 2007, MAN PREV CONS DROG; Echeburua E., 2012, ADICCION REDES SOCIA; Buils RF, 2020, REV PSICODIDACT, V25, P23, DOI 10.1016/j.psicod.2019.08.001; Fundacion MAPFRE, 2016, PREV RIESG COND AD I; Garcia-Lirios C, 2021, REV CEA, V7, pe1665, DOI [10.22430/24223182.1665, DOI 10.22430/24223182.1665]; Gonzalez Anaya G. A, 2017, REV INVESTIGACION U, V6, P62; Hernandez Sampieri R.F.-C., 2015, METODOLOGIA INVESTIG; Labrador Encinas F., 2015, GUIA PADRES EDUCADOR; Lara Contreras C. M., 2019, THESIS U MONTEMORELO; Leon Lescano W., 2014, HAMUTAY, V1, P17; Madero Cubillos J. R., 2018, FORMACION USO RESPON; Martinez Bencardino C., 2012, ESTADISTICA MUESTREO; Ministerio de las Tecnologias de la Informacion y Comunicacion, 2015, EXPL TU POD DIG TIC; Ministerio de Salud y Proteccion Social y Oficina de las Naciones Unidas contra la Droga y el Delito, 2015, LIN OP PROGR PREV; National Institute on Drug Abuse, 2020, COM SE TRAT FACT RIE; Observatorio de la Infancia e Instituto Nacional de Ciberseguridad, 2019, GUIA US SEG RESP INT; Poitevin Arce E. A., 2015, THESIS ARCHIVO U RAF; Rojas I., 2011, TIEMPO EDUCAR, V12, P277; Ruiz S., 2017, EDUCATECONCIENCIA, V13, P56; Salvador LLivina T., 2010, UNIDAD TECNICA COORD; Sanchez L., 2018, PROGRAMA PREVENCION; Sierra F, 2020, PAUTAS DISENO PROGRA; Tarazona Jaimes D., 2015, THESIS U MONTEMORELO; TEDxTalks, 2015, YOUTUBE; Teran-Prieto A., 2019, CONGRESO ACTUALIZACI, P131; Tigo Colombia, 2019, PROGR CONT CON PROGR; We Are Social Ltd, 2021, DIGITAL 2021 GUIA DE; Young K., 2015, TEDXBUFFALO</t>
  </si>
  <si>
    <t>FUNDACION UNIV CATOLICA NORTE</t>
  </si>
  <si>
    <t>CAMPUS SANTA ROSA DE OSOS, CARRERA 21 NO 34B-07, MEDELLIN, 00000, COLOMBIA</t>
  </si>
  <si>
    <t>0124-5821</t>
  </si>
  <si>
    <t>2389-7333</t>
  </si>
  <si>
    <t>REV VIRTUAL UNIV CAT</t>
  </si>
  <si>
    <t>Rev. Virtual Univ. Catol. Norte</t>
  </si>
  <si>
    <t>SEP-DEC</t>
  </si>
  <si>
    <t>10.35575/rvucn.n67a8</t>
  </si>
  <si>
    <t>Social Sciences, Interdisciplinary</t>
  </si>
  <si>
    <t>5K1SR</t>
  </si>
  <si>
    <t>WOS:000869513300008</t>
  </si>
  <si>
    <t>Gonzalez-Gamboa, I; Gonzalez-Ruiz, YD; Herrera-Martinez, Y</t>
  </si>
  <si>
    <t>Gonzalez-Gamboa, Isabella; de los Angeles Gonzalez-Ruiz, Yesid; Herrera-Martinez, Yimy</t>
  </si>
  <si>
    <t>First report of Ramphocorixa rontundocephala as a Red swamp crayfish (Procambarus clarkii)epibiont in Colombia</t>
  </si>
  <si>
    <t>ECOSISTEMAS</t>
  </si>
  <si>
    <t>Colombia; Hemiptera; lake; Neotropics; South America</t>
  </si>
  <si>
    <t>PROCAMBARUS-CLARKII GIRARD; WATER BUG; INVASION</t>
  </si>
  <si>
    <t>The aim of this study was to describe an epibiont whose eggs were found on red swamp crayfish (Procambarus clarkii), the egg density and the physicochemical characteristics of the water body where it was found. For this, individuals of P clarkii were captured in Lake Guitoque (Colombia), biometric measurements were taken, the number of epibionts adhered to the carapace were counted. In addition, samples of benthos were taken to the taxonomic determinations of the adults of the hemipterans present in the lake. As a result, the epibiont species was found to be Ramphocorixa rotundocephala of the Corixidae family. On average, the corixids deposited 1007 eggs scattered throughout the body of the red swamp crayfish. The cephalothorax had the highest number of adherent organisms, approximately 70.5% of the total, while the rest was distributed in the abdomen, the telson and the uropods. Crayfish less than 3 cm in length did not have epibionts. This is the first report not only of the presence of epibiont hemipterans on P. clarkii in Colombia and, apparently, in South America; but also, of R. rotundocephala as an epibiont of P. clarkii. This shows that the genus Ramphocorixa is capable of ovipositing on the cuticle of the red crayfish. Research suggests that R. rotundocephala could expand its range in Colombia using the red crayfish as a dispersal vehicle.</t>
  </si>
  <si>
    <t>[Gonzalez-Gamboa, Isabella; de los Angeles Gonzalez-Ruiz, Yesid; Herrera-Martinez, Yimy] Univ Pedag &amp; Tecnol Colombia, Escuela Biol, Grp Invest Manejo Integrado Ecosistemas &amp; Biodive, Ave Cent Norte 39-115, Tunja 150003, Boyaca, Colombia; [de los Angeles Gonzalez-Ruiz, Yesid] Univ Pedag &amp; Tecnol Colombia, Fac Ciencias Agr, Desarrollo Rural, Ave Cent Norte 39-115, Tunja 150003, Boyaca, Colombia</t>
  </si>
  <si>
    <t>Gonzalez-Gamboa, I (corresponding author), Univ Pedag &amp; Tecnol Colombia, Escuela Biol, Grp Invest Manejo Integrado Ecosistemas &amp; Biodive, Ave Cent Norte 39-115, Tunja 150003, Boyaca, Colombia.</t>
  </si>
  <si>
    <t>isabella.gonzalez@uptc.edu.co</t>
  </si>
  <si>
    <t>Abbott JF, 1912, AM NAT, V46, P553, DOI 10.1086/279304; Abdallah ESH, 2018, J FISH DIS, V41, P1719, DOI 10.1111/jfd.12879; Alba-Tercedor J., 2005, METODOLOGIA ESTABLEC, P131; Alvarez-Leon Ricardo, 2007, Revista de la Academia Colombiana de Ciencias Exactas Fisicas y Naturales, V31, P557; Arias-Pineda J.Y., 2018, B SOC ENTOMOLOGICA A, V62, P283; Campos M. R., 2005, REV ACAD COLOMB CIEN, V29, P295; CBD, 1994, CONV BIOL DIV TEXT A; Cespedes V., 2019, THESIS U SEVILLA SEV, DOI DOI 10.1098/rsbl.2005.0413; Diaz-Paniagua C, 2019, AQUAT INSECT, V40, P19, DOI 10.1080/01650424.2018.1521976; Dieguez-Uribeondo J., 1993, Aquaculture and Fisheries Management, V24, P761, DOI 10.1111/j.1365-2109.1993.tb00655.x; FERNANDO C. H., 1959, CEYLON JOUR SCI BIOL SCI, V2, P5; Florez-Brand Pablo Emilio, 2011, Biota Colombiana, V12, P57; Pimiento-Ortega MG, 2021, CHECK LIST, V17, P503, DOI 10.15560/17.2.503; Griffith Melvin E., 1945, UNIV KANSAS SCI BULL, V30, P241; Herrera-Martinez Y, 2017, J LIMNOL, V76, P397, DOI 10.4081/jlimnol.2017.1488; Huner J. V., 1991, RED SWAMP CRAWFISH B; HUNGERFORD H. B., 1927, AMER MUS NOVITATES, V278., P1; Hungerford H. G., 1917, Journal of the New York Entomological Society, V25; Hungerford HB, 1948, U KANSAS SCI B, V32, P5; Kadlec RH, 2010, ECOL ENG, V36, P672, DOI 10.1016/j.ecoleng.2009.12.009; Lee C, 2021, AQUACULTURE, V544, DOI 10.1016/j.aquaculture.2021.737117; Longshaw M., 2016, BIOL ECOLOGY CRAYFIS, P325; Loureiro Tainã Gonçalves, 2015, Nauplius, V23, P1, DOI 10.1590/S0104-64972014002214; LOWERY RS, 1977, AQUACULTURE, V11, P111, DOI 10.1016/0044-8486(77)90069-2; MANN HB, 1947, ANN MATH STAT, V18, P50, DOI 10.1214/aoms/1177730491; Martin-Torrijos L, 2021, FRONT ECOL EVOL, V8, DOI 10.3389/fevo.2020.622434; Mestre A, 2016, BIOL INVASIONS, V18, P3175, DOI 10.1007/s10530-016-1207-1; MEYER FP, 1965, PROG FISH CULT, V27, P19, DOI 10.1577/1548-8640(1965)27[19:APIOC]2.0.CO;2; Nieser N, 1969, STUDIES FAUNA CURACA, V28, P135; Oficialdegui FJ, 2020, REV FISH BIOL FISHER, V30, P121, DOI 10.1007/s11160-020-09594-z; Oficialdegui FJ, 2019, FRESHWATER BIOL, V64, P1382, DOI 10.1111/fwb.13312; Ohba SY, 2018, ETHOL ECOL EVOL, V30, P477, DOI 10.1080/03949370.2018.1438517; Putra MD, 2018, AQUAT CONSERV, V28, P1434, DOI 10.1002/aqc.2970; Riascos L, 2018, LIMNOLOGICA, V70, P20, DOI 10.1016/j.limno.2018.02.002; Saulich A.H., 2007, SEASONAL DEV AQUATIC; Tshudy D.M., 1988, Geological Society of America Memoir, V169, P291; Vedia I, 2015, INLAND WATERS, V5, P89, DOI 10.5268/IW-5.1.799; Wood JR, 2015, J ECOL, V103, P121, DOI 10.1111/1365-2745.12345; Yessid Arias-Pineda Julian, 2012, Boletin de la SEA, P313; Yue CF, 2009, AQUAC RES, V40, P1243, DOI 10.1111/j.1365-2109.2009.02216.x</t>
  </si>
  <si>
    <t>ASOCIACION ESPANOLA ECOLOGIA TERRESTRE</t>
  </si>
  <si>
    <t>MOSTOLES</t>
  </si>
  <si>
    <t>C/ TULIPSAN S-N, DEPT BIOLOGIA &amp; GEOLOGIA, UNIV REY JUAN CARLOS, MOSTOLES, 28933, SPAIN</t>
  </si>
  <si>
    <t>1697-2473</t>
  </si>
  <si>
    <t>Ecosistemas</t>
  </si>
  <si>
    <t>10.7818/ECOS.2280</t>
  </si>
  <si>
    <t>Ecology</t>
  </si>
  <si>
    <t>3F8DE</t>
  </si>
  <si>
    <t>WOS:000830892100006</t>
  </si>
  <si>
    <t>Hozman-Mora, J</t>
  </si>
  <si>
    <t>Hozman-Mora, Julian</t>
  </si>
  <si>
    <t>The Useful Female Presence: Political Participation of Literate Women from the Department of Oriente, State of Boyaca during the Second Half of the 19th Century</t>
  </si>
  <si>
    <t>HISTORELO-REVISTA DE HISTORIA REGIONAL Y LOCAL</t>
  </si>
  <si>
    <t>literate women; politics; networks of power; republicanism; State of Boyaca</t>
  </si>
  <si>
    <t>Between 1857 and 1886, the southeastern part of the State of Boyaca was officially nominated as the Department of Oriente, where a provincial elite notablato (group of notable owners holding public offices) operated politically, which was comprised of, in addition to lawyers and rabulas (a sort of pettifogger), literate women who participated in the politics of their community; a female activity that was questioned by conservative sectors of the territory. This argumentative exercise sought to bring this female participation to light and showed the autonomous political exercise of these literate women, who were not subject to the male will. This was possible through the tracing and interpretation of personal correspondence as the main source, addressing the political activity of some women in that territory, approaching their dynamics, languages and relationships. It was concluded that, in addition to the household role, some of them acted as political assistants, producers and diffusers of liberal ideas. In addition, it was evident that, by using their literate capacity, they mediated between the notables and the people; they were vehement defenders of their party, helping to strengthen useful alliances to build networks of power and to strengthen the republican model in the context of small districts.</t>
  </si>
  <si>
    <t>[Hozman-Mora, Julian] Univ Pedag &amp; Tecnol Colombia, Hist, Tunja, Colombia</t>
  </si>
  <si>
    <t>Hozman-Mora, J (corresponding author), Univ Pedag &amp; Tecnol Colombia, Hist, Tunja, Colombia.</t>
  </si>
  <si>
    <t>julian.hozman@uptc.edu.co</t>
  </si>
  <si>
    <t>Archivo Concejo Municipal (ACM) Tenza-Colombia, 1860, SIN CLASIFICA; Archivo Documental Privado (ADP) Miami-Estados Unidos., COLECCINFERNANDO; Archivo Documental Privado (ADP) Tenza-Colombia, COLECCIN FILEMN MO; Archivo Parroquial (AP) Garagoa-Colombia, LIBROS MATRIMONIO; Balmori D., 1990, ALIANZAS FAMILIAS FO; Bermdez Suzy, 1995, MUJERES HIST COLOMBI, VII, P240; Chartier Roger, 2003, ESPACIO P BLICO CRTI, P81; Darnton Robert, 2003, COLOQUIO LECTOR; Deas Malcolm, 2006, PODER GRAMATICA; Hobsbawm, 1975, AGE CAPITAL 1848 187; Loaiza Cano Gilberto, 2014, PODER LETRADO ENSAYO; Loaiza Gilberto, 2011, SOCIABILIDAD RELIG P; Lux M, 2014, MUJERES PATRIOTAS Y REALISTAS ENTRE DOS ORDENES: DISCURSOS, ESTRATEGIAS Y TACTICAS EN LA GUERRA, LA POLITICA Y EL COMERCIO (NUEVA GRANADA, 1790-1830); Martinez Carreno Aida, 1995, MUJER HIST COLOMBIA, V2, P292; Murray PS, 2019, Coleccion Investig U, V136, P149; Murray Pamela S, 2009, hist.crit., P54; Otalora de Corsi Rosa Mara, 1984, JOSE EUSEBIO; Prado Arellano Luis, 2017, SIGLO DIECINUEVE COL, P99; PRATT ML, 1993, REV CRIT LIT LATINO, V19, P51, DOI 10.2307/4530672; Reyes Catalina, 1996, HIST VIDA COTIDIANA, P205; Roa Medina Rafael, 1978, RA CES BOYACENSES; Rosanvallon Pierre, 2003, HISTORIA CONCEPTUAL; Samper Agudelo Jose Maria, 1866, MUSEO CUADROS COSTUM, P130; Sanders James, 2017, REPUBLICANOS; Uribe-Uran Victor, 2008, VIDAS HONORABLES ABO</t>
  </si>
  <si>
    <t>UNIV NAC COLOMBIA, SEDE MEDELLIN</t>
  </si>
  <si>
    <t>CALLE 59A NO 63-20, BLOQUE 43, OFICINA 450, MEDELLIN, 00000, COLOMBIA</t>
  </si>
  <si>
    <t>2145-132X</t>
  </si>
  <si>
    <t>HISTORELO REV HIST</t>
  </si>
  <si>
    <t>Historelo</t>
  </si>
  <si>
    <t>10.15446/historelo.v14n30.93867</t>
  </si>
  <si>
    <t>History</t>
  </si>
  <si>
    <t>1I4NC</t>
  </si>
  <si>
    <t>WOS:000797205500006</t>
  </si>
  <si>
    <t>Rubio, JJM; Malaver, EFA; Gonzalez, LAL</t>
  </si>
  <si>
    <t>Moreno Rubio, Jorge Julian; Angarita Malaver, Edison Ferney; Lara Gonzalez, Luis Angel</t>
  </si>
  <si>
    <t>Wideband Doherty Power Amplifier: A Design Approach</t>
  </si>
  <si>
    <t>MICROMACHINES</t>
  </si>
  <si>
    <t>GaN-based FETs; wideband Doherty power amplifier; broadband matching networks</t>
  </si>
  <si>
    <t>This paper presents a simple method to design wideband Doherty power amplifiers (DPAs) based on the synthesis of a combiner network which can mimic the response of an ideal compensation of the device reactive output equivalent network and exploit the maximum power capabilities of the device. Using the Wolfspeed's CGH40006 and CG2H40025 GaN HEMT devices, two DPAs were designed and simulated to demonstrate the effectiveness of the proposed approach. In both cases, a 1.4 GHz bandwidth was obtained together with an efficiency higher than 44 and 49% at 6 dB OBO. The saturated output power was higher than 41.2 and 47 dBm over the band, for the DPAs using the CGH40006 and CG2H40025 devices, respectively.</t>
  </si>
  <si>
    <t>[Moreno Rubio, Jorge Julian; Angarita Malaver, Edison Ferney] Univ Pedag &amp; Tecnol Colombia, Grp Invest Telecomunicac GINTEL, Sogamoso 152211, Colombia; [Lara Gonzalez, Luis Angel] Univ Pedag &amp; Tecnol Colombia, Inst Recursos Minero Energet IRME, Sogamoso 152211, Colombia</t>
  </si>
  <si>
    <t>Rubio, JJM (corresponding author), Univ Pedag &amp; Tecnol Colombia, Grp Invest Telecomunicac GINTEL, Sogamoso 152211, Colombia.</t>
  </si>
  <si>
    <t>jorgejulian.moreno@uptc.edu.co; edison.angarita@uptc.edu.co; luisangel.lara@uptc.edu.co</t>
  </si>
  <si>
    <t>LARA GONZALEZ, LUIS ANGEL/0000-0002-2849-0174</t>
  </si>
  <si>
    <t>Abounemra AME, 2021, IEEE ACCESS, V9, P5791, DOI 10.1109/ACCESS.2020.3046706; Camarchia V, 2015, IEEE T MICROW THEORY, V63, P559, DOI 10.1109/TMTT.2014.2387061; Chen XF, 2016, IEEE T MICROW THEORY, V64, P4505, DOI 10.1109/TMTT.2016.2623705; Colantonio P., 2009, HIGH EFFICIENCY RF M, V1st ed., P49; Giofre R, 2014, IEEE MICROW WIREL CO, V24, P775, DOI 10.1109/LMWC.2014.2345193; Grebennikov A, 2012, P IEEE, V100, P3190, DOI 10.1109/JPROC.2012.2211091; Holzer KD, 2018, IEEE T CIRCUITS-I, V65, P2715, DOI 10.1109/TCSI.2018.2800041; Rubio JJM, 2020, IEEE MICROW WIREL CO, V30, P772, DOI 10.1109/LMWC.2020.3005833; Rubio JJM, 2018, IEEE T MICROW THEORY, V66, P1319, DOI 10.1109/TMTT.2017.2767586; Rubio JJM, 2016, IEEE MICROW WIREL CO, V26, P446, DOI 10.1109/LMWC.2016.2549263; Moreno -Rubio J. J., 2021, IEEE MICROW WIRELESS, V31, P469, DOI [10.1109/LMWC.2021.3066282, DOI 10.1109/LMWC.2021.3066282]; Pang JZ, 2022, IEEE J SOLID-ST CIRC, V57, P2143, DOI 10.1109/JSSC.2022.3145349; Quaglia R, 2018, IEEE T MICROW THEORY, V66, P1328, DOI 10.1109/TMTT.2017.2766066; Quaglia R, 2017, IEEE MICROW WIREL CO, V27, P365, DOI 10.1109/LMWC.2017.2678440; Rubin Joshua, 2015, 2015 IEEE SOI-3D-Subthreshold Microelectronics Technology Unified Conference (S3S). Proceedings, P1, DOI 10.1109/S3S.2015.7333492; Rubio JM, 2012, IEEE T MICROW THEORY, V60, P2543, DOI 10.1109/TMTT.2012.2201745; Shepphard DJ, 2016, IEEE MICROW WIREL CO, V26, P443, DOI 10.1109/LMWC.2016.2559503; Wu DYT, 2012, IEEE T MICROW THEORY, V60, P3201, DOI 10.1109/TMTT.2012.2209446</t>
  </si>
  <si>
    <t>2072-666X</t>
  </si>
  <si>
    <t>MICROMACHINES-BASEL</t>
  </si>
  <si>
    <t>Micromachines</t>
  </si>
  <si>
    <t>10.3390/mi13040497</t>
  </si>
  <si>
    <t>Chemistry, Analytical; Nanoscience &amp; Nanotechnology; Instruments &amp; Instrumentation; Physics, Applied</t>
  </si>
  <si>
    <t>Chemistry; Science &amp; Technology - Other Topics; Instruments &amp; Instrumentation; Physics</t>
  </si>
  <si>
    <t>0Q6SE</t>
  </si>
  <si>
    <t>WOS:000785045100001</t>
  </si>
  <si>
    <t>Guzman-Vargas, KD; Suarez-Baron, MJ; Torres-Perez, Y; Gonzalez-Sanabria, JS</t>
  </si>
  <si>
    <t>Guzman-Vargas, Karen-Daniela; Suarez-Baron, Marco-Javier; Torres-Perez, Yolanda; Gonzalez-Sanabria, Juan-Sebastian</t>
  </si>
  <si>
    <t>Analysis of sports gestures of volleyball jump service using videometry</t>
  </si>
  <si>
    <t>biokinematics; predictive modeling; sport gesture; sports biomechanics; videometry; volleyball</t>
  </si>
  <si>
    <t>In the game of volleyball, the technique to execute the serve gesture is essential to be able to hit the ball properly and thus score points against the opposing team. However, this gesture is not always carried out in an efficient biomechanical way, which generates bad shots to the ball and a disadvantage in the game. Therefore, the biokinematics of the technical-sports gesture of some players (experts in jump serve) of the volleyball team of the Universidad Pedagogica y Tecnologica de Colombia (Boyaca - Colombia), was studied and evaluated, using the videometry technique, with the objective of determining (qualitatively and quantitatively) trajectories, speeds, accelerations, and joint angles of joints such as: wrist, elbow, shoulder, hip, knee and ankle of the athletes executing the jump serve gestures, with which they were de-signed and implemented corrective interventions of the athletes' movement in the jump serve gesture to generate a more efficient and ergonomic stroke during the serve.</t>
  </si>
  <si>
    <t>[Guzman-Vargas, Karen-Daniela; Suarez-Baron, Marco-Javier; Torres-Perez, Yolanda; Gonzalez-Sanabria, Juan-Sebastian] Univ Pedag &amp; Tecnol Colombia, Tunja, Colombia</t>
  </si>
  <si>
    <t>Guzman-Vargas, KD (corresponding author), Univ Pedag &amp; Tecnol Colombia, Tunja, Colombia.</t>
  </si>
  <si>
    <t>karen.guzman@uptc.edu.co; marco.suarez@uptc.edu.co; yolandra.torres01@uptc.edu.co; juansebastian.gonzalez@uptc.edu.co</t>
  </si>
  <si>
    <t>SUAREZ BARON, MARCO JAVIER/0000-0003-1656-4452</t>
  </si>
  <si>
    <t>Ajesh C, 2017, INT J MANGEMENT SOCI, V5, P33; Amadio A., 1999, REV BRAS FISIOTER, V3, P41; AMADIO AC, 1996, FUNDAMENTOS BIOMECAN; Bermejo J, 2012, EFDEPORTES COM REV D, V17; Cardona O, 2013, THESIS U LIBRE SECCI; Coleman S. G. S., 1993, Journal of Sports Sciences, V11, P295; Estrada Y. C., 2018, BIOMECANICA FISICA M; Garrido-Castro J.L., 2017, Rev Andal Med Deporte, V10, P69, DOI 10.1016/j.ramd.2016.02.011; Graziano A., 2008, BIOMECANICA FUNDAMEN; Hussain I., 2012, J ED PRACTICE, V2, P1; Mehanni A, 2012, WORLD J SPORTS SCI, V6, P157; Mendoza, 2016, REV COLOMBIANA TECNO, V1, P73; Moriana J., SAQUE VOLEIBOL TECNI; Pereira J, 2019, LECT EDUCACION FISIC, V24, P81; Portela Y., 2020, REV CULTURA FISICA D, V10, pe338; Quilachamin O., 2017, CIENCIA LATINA REV C, V5, P4520, DOI [10.37811/cl_rcm.v5i4.635, DOI 10.37811/CL_RCM.V5I4.635]; Reeser JC, 2010, SPORTS HEALTH, V2, P368, DOI 10.1177/1941738110374624; Rodriguez Rodriguez B., 2013, EFDEPORTES COM REV D, V18; Rodriguez Ruiz D, 2010, ALTO RENDIMIENTO CIE; Runco A., 2017, 12 C TECN ED ED TECN; Sanchez A., 2018, TRANCES REV TRANSMIS, V10, P725; Shicay F, 2018, APLICACION BIOMECANI; Stuart W, 2012, LECT EDUCACION FISIC, V17; Texeira C, 2007, EFDEPORTES COM REV D, V12; Tuvoleibol, FUND TECN VOL; Urena A., ARTICULOS TECNICOS V</t>
  </si>
  <si>
    <t>10.14483/23448350.18329</t>
  </si>
  <si>
    <t>YI9NY</t>
  </si>
  <si>
    <t>WOS:000744168900002</t>
  </si>
  <si>
    <t>Manjarres-Hernandez, EH; Morillo-Coronado, AC</t>
  </si>
  <si>
    <t>Helena Manjarres-Hernandez, Elsa; Cruz Morillo-Coronado, Ana</t>
  </si>
  <si>
    <t>Genetic diversity of Colombian quinoa (Chenopodium quinoa Willd.): implications for breeding programs</t>
  </si>
  <si>
    <t>GENETIC RESOURCES AND CROP EVOLUTION</t>
  </si>
  <si>
    <t>Genetic diversity; Microsatellites; Chenopodium quinoa; Genetic improvement</t>
  </si>
  <si>
    <t>MARKERS</t>
  </si>
  <si>
    <t>Chenopodium quinoa Willd. is a species of great interest for global food security because of its ability to adapt to different environmental conditions and its nutritional quality. In Colombia, there are few studies on the genetic diversity of quinoa, and there are no certified seed or registered varieties. Therefore, farmers plant a mixture of genotypes, which is why maximum yield and production are not achieved. The objective of this research was to characterize the genetic diversity in Colombian quinoa crops, for which 30 accessions were evaluated using 27 microsatellite markers. A total of 144 alleles were obtained, with a range of 2-7 alleles per locus (mean = 5.33). The average Polymorphic Information Content (PIC) was 0.60, where QAAT100 (0.80), QAAT112 (0.78), QAAT076 (0.78) and QCA088 (0.77) were the most informative. The expected heterozygosity index (He = 0.69) showed high genetic diversity for the analyzed individuals. Three population groups were detected (K1, K2, K3), whose genetic distances were less than 0.33. The individuals were not grouped according to their geographical origin. The low rates of genetic differentiation in the populations may have been due to the lack of certified seeds, to non-directional selection, and to constant exchange of seeds between farmers in the main producing areas of the Andean region. This study provided preliminary information for the high genetic diversity in Colombian quinoa that can be used for the development of genetic improvement programs for this species.</t>
  </si>
  <si>
    <t>[Helena Manjarres-Hernandez, Elsa; Cruz Morillo-Coronado, Ana] Univ Pedag &amp; Tecnol Colombia, Fac Ciencias Agr, Grp CIDE Competitividad Innovac &amp; Desarrollo Empr, Tunja, Colombia</t>
  </si>
  <si>
    <t>Manjarres-Hernandez, EH (corresponding author), Univ Pedag &amp; Tecnol Colombia, Fac Ciencias Agr, Grp CIDE Competitividad Innovac &amp; Desarrollo Empr, Tunja, Colombia.</t>
  </si>
  <si>
    <t>Patrimonio Autonomo Fondo Nacional de Financiamiento para la Ciencia, la Tecnologia y la Innovacion Francisco Jose de Caldas-MinCiencias [63924]</t>
  </si>
  <si>
    <t>Patrimonio Autonomo Fondo Nacional de Financiamiento para la Ciencia, la Tecnologia y la Innovacion Francisco Jose de Caldas-MinCiencias</t>
  </si>
  <si>
    <t>To the Patrimonio Autonomo Fondo Nacional de Financiamiento para la Ciencia, la Tecnologia y la Innovacion Francisco Jose de Caldas-MinCiencias. Cod. 63924.</t>
  </si>
  <si>
    <t>Ahmadi SH, 2019, AGR WATER MANAGE, V225, DOI 10.1016/j.agwat.2019.105784; Bonifacio A, 2019, CIENC INVESTIG AGRAR, V46, P113, DOI 10.7764/rcia.v46i2.2146; Christensen S. A., 2007, Plant Genetic Resources Characterization and Utilization, V5, P82, DOI 10.1017/S1479262107672293; del Castillo C, 2007, GENET RESOUR CROP EV, V54, P897, DOI 10.1007/s10722-006-9151-z; Dellaporta S.L., 1983, PLANT MOL BIOL REP, V1, P19, DOI DOI 10.1007/BF02712670; EL-Harty EH, 2021, AGRICULTURE-BASEL, V11, DOI 10.3390/agriculture11040286; Fuentes F., 2009, REV GEOGRAFICA VALPA, V42, P20; Fuentes FF, 2012, J AGR SCI-CAMBRIDGE, V150, P702, DOI 10.1017/S0021859612000056; Garcia M., 2020, SYLWAN, V164, P1; Garcia-Parra M, 2020, CHIL J AGR RES, V80, P290, DOI 10.4067/S0718-58392020000200290; Hussain MI, 2020, PLANTS-BASEL, V9, DOI 10.3390/plants9121763; Infante R Harvey, 2018, rev.udcaactual.divulg.cient., V21, P329, DOI 10.31910/rudca.v21.n2.2018.977; Jaikishun S, 2019, AGRONOMY-BASEL, V9, DOI 10.3390/agronomy9040176; Jarvis DE, 2008, J GENET, V87, P39, DOI 10.1007/s12041-008-0006-6; Maliro M.F.A., 2021, FOOD AGR ORG, DOI [DOI 10.4060/CB2351EN, 10.4060/cb2351en]; Maliro MFA, 2019, CIENC INVESTIG AGRAR, V46, P82, DOI 10.7764/rcia.v46i2.2143; Manjarres-Hernandez EH, 2021, PLANTS-BASEL, V10, DOI 10.3390/plants10071339; Manjarres-Hernandez EH, 2021, EUPHYTICA, V217, DOI 10.1007/s10681-021-02837-5; Mason SL, 2005, CROP SCI, V45, P1618, DOI 10.2135/cropsci2004.0295; Mestanza CA., 2019, CIENCIAS AGRARIAS, V12, P19, DOI [10.18779/cyt.v12i1.299, DOI 10.18779/CYT.V12I1.316]; Morillo AC, 2020, GENET MOL RES, V19, DOI 10.4238/gmr18667; Morillo Coronado A. C., 2017, African Journal of Biotechnology, V16, P483; Murphy KM, 2019, PL BRED RE, V42, P257; Peterson AJ, 2015, WORLD AGRIC SER, P173; Pritchard JK, 2000, GENETICS, V155, P945; Rodriguez JP, 2020, FRONT GENET, V11, DOI 10.3389/fgene.2020.00049; Romero M, 2019, CIENC INVESTIG AGRAR, V46, P166, DOI 10.7764/rcia.v45i2.2144; SALAZAR J, 2019, EUPHYTICA; Vega-Galvez A, 2010, J SCI FOOD AGR, V90, P2541, DOI 10.1002/jsfa.4158; Vilcacundo R, 2017, CURR OPIN FOOD SCI, V14, P1, DOI 10.1016/j.cofs.2016.11.007; Wang MX, 2019, ANN APPL BIOL, V175, P415, DOI 10.1111/aab.12545; Winkel T, 2018, PLOS ONE, V13, DOI 10.1371/journal.pone.0207519; Zhang TF, 2017, BMC GENOMICS, V18, DOI 10.1186/s12864-017-4093-8</t>
  </si>
  <si>
    <t>0925-9864</t>
  </si>
  <si>
    <t>1573-5109</t>
  </si>
  <si>
    <t>GENET RESOUR CROP EV</t>
  </si>
  <si>
    <t>Genet. Resour. Crop Evol.</t>
  </si>
  <si>
    <t>10.1007/s10722-022-01383-w</t>
  </si>
  <si>
    <t>Agronomy; Plant Sciences</t>
  </si>
  <si>
    <t>Agriculture; Plant Sciences</t>
  </si>
  <si>
    <t>3W6KX</t>
  </si>
  <si>
    <t>WOS:000782884800001</t>
  </si>
  <si>
    <t>Moreno, BYA</t>
  </si>
  <si>
    <t>Moreno, Blanca Yanneth Alvarez</t>
  </si>
  <si>
    <t>Geographic approximation to the feminicides in the Boyaca department in Colombia between 2017 and 2021. A review of the Nobsa case</t>
  </si>
  <si>
    <t>PERSPECTIVA GEOGRAFICA</t>
  </si>
  <si>
    <t>Boyac; feminicide; life story; geography</t>
  </si>
  <si>
    <t>This paper aims to make a geographic approximation to the understanding of the feminicide phenomenon in Boyaca, Colombia, based on the events that took place in this department between 2017 and 2021. Therefore, a documentary review was made to know the context of feminicides in Colombia, especially in the Boyaca department. Moreover, an in-depth interview was conducted to collect the life story of a woman inhabitant of the region who is a mother head of household and suffered the feminicide of her underage daughter in 2017. Subsequently, the secondary information was triangulated with the testimony of the interviewee to identify patterns in this conduct. The results suggest that, even though the feminicide rates in the department are low in comparison to other departments, it is necessary to attend to and prevent other types of violence urgently, such as physical or sexual, since they can trigger this type of murders and have been increasing in the region during the last years.</t>
  </si>
  <si>
    <t>[Moreno, Blanca Yanneth Alvarez] Univ Pedag &amp; Tecnol Colombia, Conomista &amp; Magister Geog, Actualmente funcionaria Clin Colsanitas, Tunja, Colombia</t>
  </si>
  <si>
    <t>Moreno, BYA (corresponding author), Univ Pedag &amp; Tecnol Colombia, Conomista &amp; Magister Geog, Actualmente funcionaria Clin Colsanitas, Tunja, Colombia.</t>
  </si>
  <si>
    <t>yanethalvarez670@gmail.com</t>
  </si>
  <si>
    <t>Alcaldia Municipal de Nobsa, 2020, NOBSA CAMINO DESARRO; Bedoya Lima J., 2020, TIEMPO; Bonavitta P., 2019, REV CISEN TRAMASMAEP, V7, P23; Camara de Comercio de Duitama Camara de Comercio de Sogamoso Camara de Comercio de Tunja &amp; Fundacion Centro de Desarrollo Tecnologico para la Sostenibilidad y Competitividad Regional C-Star, 2022, BOYACA CIFRAS 2021; Caracol Radio, 2020, CARACOL RADIO; Centro de Justicia y Paz. (CEPAZ), 2020, COMUNICACIONES CEPAZ; Comision Economica para America Latina y el Caribe (Cepal), 2021, PANDEMIA SOMBRA FEMI; Comision Interamericana de Derechos Humanos, ACCESO JUSTICIA MUJE; Damian Bernal A. L., 2020, TLALLI REV INVESTIGA, V4, P31, DOI [10.22201/ffyl.26832275-.2020.4.1366, DOI 10.22201/FFYL.26832275-.2020.4.1366]; Damian Bernal A. L., 2018, PERSPECT GEOGR, V23; Departamento Administrativo Nacional de Estadistica (DANE), 2020, MUJERES RURALES COLO; El Diario Boyaca, 2017, DIARIO BOYACA; El Espectador, 2013, EL ESPECTADOR; Empresa Social del Estado Unidad de Salud Nobsa, 2020, ANALISIS SITUACION S; Escobar Roldan M., 2017, EL COLOMBIANO; Fals Borda O., 2017, CAMPESINOS ANDES OTR; Fernandez-Montano P, 2015, TRAB SOC GLOB, V5, P24; Ferrarotti F, 2007, CONVERGENCIA, V14, P15; Fundacion Sisma Colombia, 2022, DIA INT MUJER 2022 V, V29; Gobernacion de Boyaca, 2020, MARCO TERRITORIAL LU; Ibarra V. E., 2018, ETCETERA REV AREA CI, V2; Infobae, 2021, INFOBAE; Lagarde M., 2006, TEXTO EDITADO CONFER; Llanos Beatriz, 2018, MUJERES POLITICA EXP, P69; Monarrez J., 2016, VIOLENCIA MUJERES IN, P68; Observatorio de Igualdad de Genero de America Latina y el Caribe, LEYES VIOLENCIA; Observatorio Feminicidios Colombia, 2022, REPORTE DINAMICO FEM; ONU Mujeres, FEMINICIDIO; ONU Mujeres, 2019, EVALUACION APLICACIO; Organizacion Panamericana de la Salud (OPS), 2013, COMPRENDER ABORDAR V; Pedrero M., 2018, TRABAJO CUIDADOS CUE, P54; Pulzo, 2020, PULZO; RCN Radio, 2017, RCN RADIO; Secretaria de Salud de Boyaca, 2021, B EPIDEMIOLOGICO BOY; Semana, 2018, SEMANA RURAL; Soto Villagran P., 2018, PERSPECT GEOGR, V23; Vargas Ferrucho J., 2021, THESIS U JORGE TADEO; Zaragocin S., 2019, GENERO PRODUCCION UR, P75</t>
  </si>
  <si>
    <t>0123-3769</t>
  </si>
  <si>
    <t>2500-8684</t>
  </si>
  <si>
    <t>PERSPECT GEOGR</t>
  </si>
  <si>
    <t>Perspect. Geogr.</t>
  </si>
  <si>
    <t>9P7ID</t>
  </si>
  <si>
    <t>WOS:000944453600005</t>
  </si>
  <si>
    <t>Torres, JDC; Barreto, LCR</t>
  </si>
  <si>
    <t>Chinome Torres, Julian David; Rodriguez Barreto, Lucia Carlota</t>
  </si>
  <si>
    <t>Comparison of the CUMANIN and CUMANES Scales: A psychometric experience</t>
  </si>
  <si>
    <t>REVISTA DE PSICOLOGIA PUCP</t>
  </si>
  <si>
    <t>Neuropsychological assessment; child development; Psychometry</t>
  </si>
  <si>
    <t>EARLY-CHILDHOOD DEVELOPMENT; BRAIN-DEVELOPMENT; CHILDREN; MALNUTRITION; NEURODEVELOPMENT; DEFICITS; MODERATE; OUTCOMES; INCOME; RISK</t>
  </si>
  <si>
    <t>[Chinome Torres, Julian David; Rodriguez Barreto, Lucia Carlota] Univ Pedag &amp; Tecnol Colombia, Sede Cent Tunja Boyaca Colombia Ave Cent Norte, Tunja, Colombia</t>
  </si>
  <si>
    <t>Torres, JDC (corresponding author), Univ Pedag &amp; Tecnol Colombia, Sede Cent Tunja Boyaca Colombia Ave Cent Norte, Tunja, Colombia.</t>
  </si>
  <si>
    <t>juliandavid.chinome@uptc.edu.co; lucia.rodriguezb@uptc.edu.co</t>
  </si>
  <si>
    <t>Abad F.J., 2016, INTRO PSICOMETRIA TE; Ackerman BP, 2006, ADV CHILD DEV BEHAV, V34, P91, DOI 10.1016/S0065-2407(06)80005-4; Gonzalez-Perez PA, 2013, ACCION PSICOL, V10, P115, DOI 10.5944/ap.10.2.12215; Alonso-Nanclares L, 2008, P NATL ACAD SCI USA, V105, P14615, DOI 10.1073/pnas.0803652105; *AM PSYCH ASS, 1992, AM PSYCHOL, V47, P1597, DOI DOI 10.1037/0003-066X.47.12.1597; [Anonymous], 2010, Am Psychol, V65, P493, DOI 10.1037/a0020168; Arango-Lasprilla J. C., 2015, NEUROPSICOLOGIA COLO; Avila A., 2012, REV IBEROAMERICANA P, V5, P91; Bando R., 2016, SEX DIFFERENCES LANG; Colmenero FB, 2012, ELECTRON J RES EDUC, V10, P311; Black MM, 2017, LANCET, V389, P77, DOI 10.1016/S0140-6736(16)31389-7; Bryck RL, 2012, AM PSYCHOL, V67, P87, DOI 10.1037/a0024657; Campo Ternera Carlos, 2012, Salud, Barranquilla, V28, P88; Castro G., 2016, DOCUMENTOS TRABAJO F, V26; Cermakova P, 2018, NEUROLOGY, V91, pE1602, DOI [10.1212/WNL.0000000000006390, 10.1212/wnl.0000000000006390]; Chinóme Torres Julián David, 2017, Psicol. caribe, V34, P184, DOI 10.14482/psdc.33.2.72787; del R., 2000, CUESTIONARIO MADUREZ; Fritze T, 2014, SOC SCI MED, V119, P240, DOI 10.1016/j.socscimed.2014.07.011; Gilman SE, 2017, P NATL ACAD SCI USA, V114, P6728, DOI 10.1073/pnas.1617698114; Guamani Toapanta G. M., 2016, ESTIMULACION KINESTE; Guerrero-leiva M. K., 2006, HEREDIANA, V1, P66; Heckman JJ, 2007, REV AGR ECON, V29, P446, DOI 10.1111/j.1467-9353.2007.00359.x; HERNANDEZ SAMPIERI R., 2010, METODOLOGIA INVESTIG, V5ta; Ingalhalikar M, 2014, P NATL ACAD SCI USA, V111, P823, DOI 10.1073/pnas.1316909110; John CC, 2017, PEDIATRICS, V139, DOI [10.1542/peds.2016-2828h, 10.1542/peds.2016-2828H]; Johnson SB, 2016, PEDIATRICS, V137, DOI 10.1542/peds.2015-3075; Knickmeyer RC, 2008, J NEUROSCI, V28, P12176, DOI 10.1523/JNEUROSCI.3479-08.2008; Lenroot RK, 2006, NEUROSCI BIOBEHAV R, V30, P718, DOI 10.1016/j.neubiorev.2006.06.001; Martin Casari L., 2013, PSIENCIA-REV LATINOA, V5, P150; Martin-Casas P, 2017, NEUROLOGIA, V32, P446, DOI 10.1016/j.nrl.2016.02.012; Martin-Casas P., 2016, AUSTIN PEDIAT, V3, P1036; McDermott CL, 2019, J NEUROSCI, V39, P1365, DOI 10.1523/JNEUROSCI.1808-18.2018; MESSICK S, 1980, AM PSYCHOL, V35, P1012, DOI 10.1037/0003-066X.35.11.1012; Millana-Cuevas LC, 2007, REV NEUROLOGIA, V44, P366, DOI 10.33588/rn.4406.2005612; Moreno-Gomez AJ, 2019, MINDFULNESS, V10, P111, DOI 10.1007/s12671-018-0956-6; Nell V., 2000, CROSS CULTURAL NEURO; Nelson CA, 2007, SCIENCE, V318, P1937, DOI 10.1126/science.1143921; Nelson CA, 2009, AM SCI, V97, P222, DOI 10.1511/2009.78.222; Noble KG, 2015, NAT NEUROSCI, V18, P773, DOI 10.1038/nn.3983; Parra Pulido Javier Humberto, 2015, Pensam. psicol., V13, P65, DOI 10.11144/Javerianacali.PPSI13-2.rpnm; Parra-Pulido Javier Humberto, 2016, Univ. Salud, V18, P126; Peng LN, 2015, J NURS RES, V23, P1, DOI 10.1097/jnr.0000000000000074; Perez-Escamilla R, 2017, B MED HOSP INFANT M, V74, P86, DOI 10.1016/j.bmhimx.2017.01.007; Portellano J. A., 2012, CUESTIONARIO MADUREZ; Benitez YR, 2015, CUAD NEUROPSICOL, V9, P49, DOI 10.7714/cnps/9.2.203; Rees P, 2016, EDUC CHILD PSYCHOL, V33, P8; Richter LM, 2017, LANCET, V389, P103, DOI 10.1016/S0140-6736(16)31698-1; Savanur M. S., 2015, J PSYCHOSOCIAL RES; Schoenmaker C, 2015, CHILD YOUTH SERV REV, V48, P80, DOI 10.1016/j.childyouth.2014.12.010; Shawar YR, 2017, LANCET, V389, P119, DOI 10.1016/S0140-6736(16)31574-4; Shonkoff JP, 2011, SCIENCE, V333, P982, DOI 10.1126/science.1206014; Smyke AT, 2007, J CHILD PSYCHOL PSYC, V48, P210, DOI 10.1111/j.1469-7610.2006.01694.x; Solis-Rodriguez A. A., 2018, INVEST PENS CRIT, V6, P5; Sun XR, 2017, J VOCAT BEHAV, V100, P111, DOI 10.1016/j.jvb.2017.03.003; Urzua A, 2010, TER PSICOL, V28, P13; Waber DP, 2018, NUTR NEUROSCI, V21, P195, DOI [10.1080/1028415X.2016.1258379, 10.1080/1028415x.2016.1258379]; Walhovd KB, 2016, P NATL ACAD SCI USA, V113, P9357, DOI 10.1073/pnas.1524259113; Walker SP, 2007, LANCET, V369, P145, DOI 10.1016/S0140-6736(07)60076-2; Walker SP, 2011, LANCET, V378, P1325, DOI 10.1016/S0140-6736(11)60555-2; Zamora Crespo B., 2014, ANALES PEDIAT CONTIN, V12, P191</t>
  </si>
  <si>
    <t>PONTIFICIA UNIV CATOLICA PERU</t>
  </si>
  <si>
    <t>SAN MIGUEL</t>
  </si>
  <si>
    <t>AV UNIVERSITARIA 1801, SAN MIGUEL, LIMA 32, PERU</t>
  </si>
  <si>
    <t>0254-9247</t>
  </si>
  <si>
    <t>2223-3733</t>
  </si>
  <si>
    <t>REV PSICOL-LIMA</t>
  </si>
  <si>
    <t>Rev. Psicol. PUCP</t>
  </si>
  <si>
    <t>10.18800/psico.202201.013</t>
  </si>
  <si>
    <t>Psychology, Multidisciplinary</t>
  </si>
  <si>
    <t>Psychology</t>
  </si>
  <si>
    <t>XQ9SZ</t>
  </si>
  <si>
    <t>WOS:000731882000014</t>
  </si>
  <si>
    <t>Quiroz, WOL; Murcia, EVC</t>
  </si>
  <si>
    <t>Quiroz, Wilson Orlando Ladino; Murcia, Erika Viviana Castellanos</t>
  </si>
  <si>
    <t>philosophical camp: playful experience of thinking with childhood</t>
  </si>
  <si>
    <t>CHILDHOOD AND PHILOSOPHY</t>
  </si>
  <si>
    <t>philosophical camp; philosophy and childhood; playfulness; self-care; experience</t>
  </si>
  <si>
    <t>The article presents some of the results of the research project Ludica y juego en la educacion infantil: construccion conceptual-Play and Games in Early Childhood Education: A Conceptual Construct-financed by the Vicerrectoria de Investigaciones of the Universidad Pedagogica y Tecnologica de Colombia, Tunja, Boyaca, Colombia. The aim was to identify and explore the conceptions of what the Campamento Filosofico (Philosophy Camp) represents for its participants within the framework of the project Filosofia e infancia (Philosophy and Childhood). This study takes a qualitative approach, for which semi-structured interviews were used as an instrument for data collection. Also, Atlas.ti 8 (R) software was used for data analysis. An open, axial and selective coding was carried out, in which the emerging categories of the analysis were experience, encounter, learning, self-care and body. As a result of this conceptualization, it was found that philosophy camps are scenarios that make possible a relationship between university learning environments and primary, elementary and middle school educational contexts. They also enable an experience of the dialogic encounter between different perspectives on the same philosophical topic. Through the Philosophy Camp, philosophy is brought to the school, and the encounter with childhood -as a state, attitude and possibility -fosters spaces for thought, friendship and interaction.</t>
  </si>
  <si>
    <t>[Quiroz, Wilson Orlando Ladino; Murcia, Erika Viviana Castellanos] Univ pedag &amp; tecnol colombia, Tunja, Colombia</t>
  </si>
  <si>
    <t>Quiroz, WOL (corresponding author), Univ pedag &amp; tecnol colombia, Tunja, Colombia.</t>
  </si>
  <si>
    <t>ladinoqui@hotmail.com; erika.castellanos02@uptc.edu.co</t>
  </si>
  <si>
    <t>ALVAREZ L, 2013, REV UNIVERSITARIA ED, P25; CONSOLI D., 2015, SOFT POWER, V2, P135; CORCINI M, 2021, INCLUSAO APRENDIZAGE, DOI [10.31560/pimentacultural/2021.434, DOI 10.31560/PIMENTACULTURAL/2021.434]; DIAZ J., 2021, DIAGRAMAS POLIFONIAS, V1, P139; ESPANOLA R. A, 2001, DICCIONARIO LENGUA E, V22; ESPINEL O., 2017, FORMAS EXPRESIONES M; FOUCAULT M., 2001, HERMENEUTIQUE SUJET; FOUCAULT M, 2006, HERMENEUTICA SUJETO; HUIZINGA J, 2007, HOMOLUDENS SEXTA; KOHAN W., 2010, ENTREVISTA W KOHAN I; KOHAN W. O, 2014, INFANCIA POLITICA PE; LIPMAN M., 2014, PENSAMIENTO COMPLEJO; MORALES-MORA L, 2018, INFANCIA LUDICA JUEG; Strauss A.L., 2002, BASES INVESTIGACION; Suarez C.C., 2021, DIAGRAMAS POLIFONIAS, V1, P139; SUAREZ M, 2016, PENSADO UNIVERSO VOC; SUAREZ M, 2021, CONVERSANDO CURRICUL; SUAREZ M., 2020, PENSANDO FILOSOFIA V; SUAREZ M, 2018, INFANCIA DIVERSIDAD; SUAREZ M, 2017, FORMAS EXPRESIONES M; SUAREZ M, 2020, PREGUNTELE FILOSOFO; SUAREZ M, 2020, EXPERIENCIA ETICA SU; SUAREZ M, 2021, REV IICE, V49, P231, DOI [10.34096/iice.n48.xxxxISSN0327-7763, DOI 10.34096/IICE.N48.XXXXISSN0327-7763]; SUAREZ M, 2022, LUDICA INFANCIA TEJI; SUAREZ M. T., 2018, INFANCIA DIVERSIDAD, V1a, P15; Suarez Vaca C.C, 2022, LUDICA INFANCIA TEJI</t>
  </si>
  <si>
    <t>STATE UNIV RIO DE JANEIRO</t>
  </si>
  <si>
    <t>RIO DE JANEIRO</t>
  </si>
  <si>
    <t>NEFI-CENTER PHILOSOPHICAL &amp; CHILDHOOD STUDIES, RIO DE JANEIRO, 00000, BRAZIL</t>
  </si>
  <si>
    <t>2525-5061</t>
  </si>
  <si>
    <t>1984-5987</t>
  </si>
  <si>
    <t>CHILD PHILOS</t>
  </si>
  <si>
    <t>Child. Philos.</t>
  </si>
  <si>
    <t>10.12957/childphilo.2022.67275</t>
  </si>
  <si>
    <t>Education &amp; Educational Research; Philosophy</t>
  </si>
  <si>
    <t>5V8MW</t>
  </si>
  <si>
    <t>WOS:000877479200001</t>
  </si>
  <si>
    <t>Araujo, ER</t>
  </si>
  <si>
    <t>Rodriguez Araujo, Edilberto</t>
  </si>
  <si>
    <t>The Contours of Economic Sciences Teaching in Eastern Colombia</t>
  </si>
  <si>
    <t>APUNTES DEL CENES</t>
  </si>
  <si>
    <t>economic sciences; academic programs; Business Administration; Public Accountancy; Economics; academic offer; Colombian eastern region; public and private universities; curricular structure; training areas</t>
  </si>
  <si>
    <t>The academic programs that are part of the economic sciences emerged in Colombia in the mid-twentieth century. The relative weight of the existing programs in the academic offer and the student population grew in the last decade to reach 16% and 29%, on average, in 2020. The analysis in this text focuses on a sample of 13 programs from eight universities with high quality accreditation, belonging to the eastern region of the country, made up of the departments (states) of Boyaca, Cundinamarca, Meta, Santander, and Norte de Santander. Business Administration, Public Accounting and Economics are the three academic programs included in this article, offered by both public and private universities, in which the curriculum structure and duration of studies have notably similarities, but also visible differences in terms of the weighting of the different training areas (basic, professional, socio-humanistic and elective) as well as in the tuition fees. It is observed that the professional area with the highest relative participation is Business Administration, which is reflected in the orientation of the program, followed by the Public Accountancy program. A lower proportion was found in Economics. In the concrete case of Economics, in recent years there has been an intense debate about mathematical formalization and curricular standardization, as well as training by results, a strategy brokered by the Ministry of National Education.</t>
  </si>
  <si>
    <t>[Rodriguez Araujo, Edilberto] Univ Pedag &amp; Tecnol Colombia, Escuela Econ, Tunja, Colombia</t>
  </si>
  <si>
    <t>Araujo, ER (corresponding author), Univ Pedag &amp; Tecnol Colombia, Escuela Econ, Tunja, Colombia.</t>
  </si>
  <si>
    <t>edilberto.rodriguez@uptc.edu.co</t>
  </si>
  <si>
    <t>Bejarano J. A., 1984, CUAD ECON, P35; Bejarano J. A., 1999, CUAD ECON, V18, P77; Bula J., 2013, J SREFLEXIONES CIENC, P15; Cardona J., 2013, REFLEXIONES CIENCIAS, P173; Carrillo-Rodriguez L. A., 2020, REV EC ADMINISTRACIO, V17, P57; Castro Heredia Javier Andrés, 2016, Soc. Econ., P147; Catano J., 1999, CUAD ECON, V18, P151; Consejo Nacional de Educacion Superior-CESU, 2020, US; Cuervo L. M., 2010, TEORIAS DESARROLLO 2; Fourcade M, 2015, J ECON PERSPECT, V29, P89, DOI [10.1257/jep.29.1.89, 10.18601/01245996.v17n33.02]; Garcia B., 2017, EC INFORM, P19; Hodara I., 1924, ECON J, V34, P311; LORA EDUARDO, 2009, RAE, V24, P65; Mayor A., 2013, REFLEXIONES CIENCIAS, P173; MINEDU (Ministerio de Educacion), 2018, DESC QUE REG HABL PE; Ministerio de Educacion Nacional -MEN, 2003, RES 3459; Ministerio de Educacion Nacional -MEN, 2003, RES 2774; Miranda-Zapata E, 2018, REV PSICODIDACT, V23, P102, DOI 10.1016/j.psicod.2018.02.003; Misas Arango Gabriel, 2004, Cuad. Econ., V23, P205; Montenegro A., 2008, PRIMEROS PROGRAMAS E; Pérez Salazar Mauricio, 2004, Cuad. Econ., V23, P143; Salazar-Trujillo Boris, 2019, Ens. Econ., V29, P7, DOI 10.15446/ede.v29n55.82766; Sarmiento J. A., 2014, REV INVESTIGACION RE, V22, P231; Stilwell Frank, 2016, Rev.econ.inst., V18, P283, DOI 10.18601/01245996.v18n34.15; Streeten Paul, 2007, Rev.econ.inst., V9, P35</t>
  </si>
  <si>
    <t>0120-3053</t>
  </si>
  <si>
    <t>2256-5779</t>
  </si>
  <si>
    <t>APUNT CENES</t>
  </si>
  <si>
    <t>Apunt. CENES</t>
  </si>
  <si>
    <t>10.19053/01203053.v41.n74.2022.14683</t>
  </si>
  <si>
    <t>Economics</t>
  </si>
  <si>
    <t>3X9TJ</t>
  </si>
  <si>
    <t>WOS:000843374600010</t>
  </si>
  <si>
    <t>Morales-Alba, AF; Carvajal-Cogollo, JE; Morales, I</t>
  </si>
  <si>
    <t>Morales-Alba, Andres F.; Carvajal-Cogollo, Juan E.; Morales, Irina</t>
  </si>
  <si>
    <t>Bees in agricultural systems: taxonomic and functional diversity review and research perspectives</t>
  </si>
  <si>
    <t>ACTA BIOLOGICA COLOMBIANA</t>
  </si>
  <si>
    <t>Agroecology; Colombia; Crops; Pollination</t>
  </si>
  <si>
    <t>FRUIT PASSIFLORA-EDULIS; HYMENOPTERA APIDAE; POLLINATION; ARECACEAE; ECOLOGY; CROPS</t>
  </si>
  <si>
    <t>Bees are insects of great ecological importance since they are responsible for processes such as pollination in natural and agricultural environments, contributing to the health and resilience of ecosystems. We conducted a review to address the taxonomic and functional dimensions of the bees??? diversity in palm, potato, coffee, granadilla, gulupa and passion fruit crops. Using keywords and Boolean operators we searched for information in databases. Curves analogous of species accumulation were constructed and a complementarity analysis was carried out to assess taxonomic diversity. We used a cluster analysis to identify functional types and evaluate the functional richness of each crop. Nineteen publications of bees associated with crops, with records of 116 species, were found. Palm cultivation presented the highest richness with 48 species, followed by potato (44) and coffee (41). We identified 11 functional types, where the most representative was bees with corbicula, eusocial, that nest in any cavity (ScEuCc). Functional richness was higher in coffee (3.33), followed by potato (2.83) and gulupa (2.00). The high diversity of bees in agroecosystems seems to be related to the proximity of each crop to forest fragments, according to what could be analyzed from the publications. Agroecosystems could offer an alternative resource to bees by allowing them to combat the decline of their habitats, so we suggest expanding research on the benefits of agricultural crops on the bee community.</t>
  </si>
  <si>
    <t>[Morales-Alba, Andres F.; Carvajal-Cogollo, Juan E.; Morales, Irina] Univ Pedag &amp; Tecnol Colombia, Programa Biol, Lab Entomol, Grp Sistemat Biol SisBio, Av Cent Norte 39-115, Tunja, Boyaca, Colombia; [Morales-Alba, Andres F.; Morales, Irina] Univ Pedag &amp; Tecnol Colombia, Programa Biol, Museo Hist Nat Luis Gonzalo Andrade, Grp Invest Biodiversidad &amp; Conservac, Tunja, Boyaca, Colombia</t>
  </si>
  <si>
    <t>Morales, I (corresponding author), Univ Pedag &amp; Tecnol Colombia, Programa Biol, Lab Entomol, Grp Sistemat Biol SisBio, Av Cent Norte 39-115, Tunja, Boyaca, Colombia.;Morales, I (corresponding author), Univ Pedag &amp; Tecnol Colombia, Programa Biol, Museo Hist Nat Luis Gonzalo Andrade, Grp Invest Biodiversidad &amp; Conservac, Tunja, Boyaca, Colombia.</t>
  </si>
  <si>
    <t>Aizen MA, 2019, GLOBAL CHANGE BIOL, V25, P3516, DOI 10.1111/gcb.14736; Akamine E. K., 1959, USDA TECHNICAL B, V39; Arias Suárez Juan Carlos, 2016, Acta Agron., V65, P197, DOI 10.15446/acag.v65n2.49278; Banaszak J, 2018, COMMUNITY ECOL, V19, P239, DOI 10.1556/168.2018.19.3.5; Barrientos-Restrepo E., 2012, THESIS U NACL COLOMB; Bezerra ADM, 2019, AGR SYST, V169, P49, DOI 10.1016/j.agsy.2018.12.002; Bravo-Monroy L, 2015, AGR ECOSYST ENVIRON, V211, P145, DOI 10.1016/j.agee.2015.06.007; Brieva-Oviedo E, 2020, CALDASIA, V42, P278, DOI 10.15446/caldasia.v42n2.75595; Buchholz S, 2020, LANDSCAPE URBAN PLAN, V196, DOI 10.1016/j.landurbplan.2019.103731; Buchmann S.L., 1983, P73; Cadotte MW, 2011, J APPL ECOL, V48, P1079, DOI 10.1111/j.1365-2664.2011.02048.x; Calle Z, 2010, INTERCIENCIA, V35, P207; Arias-Suárez Juan Carlos, 2014, Agron. Mesoam, V25, P73, DOI 10.15517/am.v25i1.14200; Casanoves F., 2008, INFOSTAT VERSION 200; Casanoves F, 2011, VALORACION ANALISIS; Chauzat MP, 2009, ENVIRON ENTOMOL, V38, P514, DOI 10.1603/022.038.0302; da Silva CI, 2012, REV BIOL TROP, V60, P1553; De Luca PA, 2013, CURR OPIN PLANT BIOL, V16, P429, DOI 10.1016/j.pbi.2013.05.002; Decourtye A, 2019, CURR OPIN INSECT SCI, V35, P123, DOI 10.1016/j.cois.2019.07.008; Diaz S, 2007, P NATL ACAD SCI USA, V104, P20684, DOI 10.1073/pnas.0704716104; Dodge B, 2005, MOTORES BUSQUEDA ALG; Ellis KE, 2015, ENVIRON ENTOMOL, V44, P999, DOI 10.1093/ee/nvv086; FAO, 2008, FAOSTAT FOOD AGR ORG; FAO, 2016, FAOSTAT PROD CROPS; Forrest JRK, 2015, J APPL ECOL, V52, P706, DOI 10.1111/1365-2664.12433; Franco Y., 2007, REV U CATOLICA ORIEN, V24, P73; Garibaldi LA, 2011, ECOL LETT, V14, P1062, DOI 10.1111/j.1461-0248.2011.01669.x; GONZALEZ VICTOR H., 2009, Acta biol.Colomb., V14, P31; Guerrero-Olaya Nilson Y, 2017, Rev. peru biol., V24, P43, DOI 10.15381/rpb.v24i1.13102; Gutierrez-Chacon C, 2018, J ECON ENTOMOL, V111, P1526, DOI 10.1093/jee/toy133; Herrera O. V., 2016, THESIS FACULTAD CIEN; Hoiss B, 2012, P ROY SOC B-BIOL SCI, V279, P4447, DOI 10.1098/rspb.2012.1581; INOUYE DW, 1980, ECOLOGY, V61, P1251, DOI 10.2307/1936841; Instituto de Hidrologia Meteorologia y Estudios Ambientales de Colombia (IDEAM), 2020, TIEMP CLIM; Janzen D.H., 1985, P40; Jaramillo-Delgado A., 2012, THESIS ESCUELA BIOCI; Ji WC, 2022, CHIN SCI B-CHIN, V67, P2241, DOI 10.1360/TB-2021-1371; Kaluza BF, 2017, ECOSPHERE, V8, DOI 10.1002/ecs2.1758; Kleijn D, 2015, NAT COMMUN, V6, DOI 10.1038/ncomms8414; Klein AM, 2007, P ROY SOC B-BIOL SCI, V274, P303, DOI 10.1098/rspb.2006.3721; Laliberte E, 2010, ECOL LETT, V13, P76, DOI 10.1111/j.1461-0248.2009.01403.x; Leal D. A., 2018, PERSPECTIVAS, V11, P20; LINSLEY E. GORTON, 1958, HILGARDIA, V27, P543; McCravy KW, 2019, FLA ENTOMOL, V102, P134, DOI 10.1653/024.102.0122; MEDINA-GUTIÉRREZ JULIÁN, 2012, Acta biol.Colomb., V17, P381; MICHENER CD, 1964, AM ZOOL, V4, P227; MICHENER CD, 1969, ANNU REV ENTOMOL, V14, P299, DOI 10.1146/annurev.en.14.010169.001503; MORENO C. E., 2001, METODOS MEDIR BIODIV, V1, P1; Nagamitsu T, 1997, OECOLOGIA, V110, P432, DOI 10.1007/s004420050178; Nates-Parra G., 2006, ABEJAS CORBICULADAS, P156; Nates-Parra G, 2016, INICIATIVA COLOMBIAN; Nicholls CI, 2013, AGRON SUSTAIN DEV, V33, P257, DOI 10.1007/s13593-012-0092-y; Nunez A. L. A., 2013, SERIE EDITORIAL RECU, P119; Nunez Avellaneda LA, 2017, ACTA BIOL COLOMB, V22, P221, DOI [10.15446/abc.v22n2.5892, 10.15446/abc.v22n2.58925]; Nunez L. A., 2016, INICIATIVA COLOMBIAN, P215; Ollerton J, 2017, ANNU REV ECOL EVOL S, V48, P353, DOI 10.1146/annurev-ecolsys-110316-022919; Patel V, 2021, AMBIO, V50, P49, DOI 10.1007/s13280-020-01333-9; Plaza -Ortega V., 2017, BMEUV, V17, pS15; Rao Sujaya, 2010, Psyche (Cambridge), V2010, P1, DOI 10.1155/2010/354072; Ricotta C, 2016, METHODS ECOL EVOL, V7, P1386, DOI 10.1111/2041-210X.12604; Rodriguez-Calderon A. T., 2016, INICIATIVA COLOMBIAN, P173; Rodriguez-Parilli S. A., 2013, ENTOMOTROPICA, V27, P111; Sepulveda-Cano P., 2013, THESIS U NACL COLOMB; Sepulveda-Cano PA, 2017, REV COLOMB ENTOMOL, V43, P55, DOI 10.25100/socolen.v43i1.6650; Shaw JP, 2017, EVOL ECOL RES, V18, P429; Villeger S, 2008, ECOLOGY, V89, P2290, DOI 10.1890/07-1206.1</t>
  </si>
  <si>
    <t>UNIV NAC COLOMBIA, FAC CIENCIAS, DEPT BIOL</t>
  </si>
  <si>
    <t>APARTADO AEREO 14490, BOGOTA, 00000, COLOMBIA</t>
  </si>
  <si>
    <t>0120-548X</t>
  </si>
  <si>
    <t>1900-1649</t>
  </si>
  <si>
    <t>ACTA BIOL COLOMB</t>
  </si>
  <si>
    <t>Acta Biol. Colomb.</t>
  </si>
  <si>
    <t>10.15446/abc.v27n2.92192</t>
  </si>
  <si>
    <t>Plant Sciences; Zoology</t>
  </si>
  <si>
    <t>3V8PV</t>
  </si>
  <si>
    <t>WOS:000841922300013</t>
  </si>
  <si>
    <t>EDITORIAL</t>
  </si>
  <si>
    <t>7M3JA</t>
  </si>
  <si>
    <t>WOS:000906552800001</t>
  </si>
  <si>
    <t>Gomez, SAS</t>
  </si>
  <si>
    <t>Sanabria Gomez, Segundo Abrahan</t>
  </si>
  <si>
    <t>Technological Progress and Economic Inequalities: An Empirical Approach for Colombia (1974-2015)</t>
  </si>
  <si>
    <t>technological progress; structural change; economic dynamics; productivity; economic inequality</t>
  </si>
  <si>
    <t>STRUCTURAL-CHANGE; INCREASING RETURNS; LATIN-AMERICA; INNOVATION; GROWTH; HETEROGENEITY; PERFORMANCE; DIRECTIONS; INDUSTRY; IMPACT</t>
  </si>
  <si>
    <t>As developing economies move towards modernization, they progressively incorporate new technologies into production processes. However, the incorporation of technological progress is not homogeneous among the different branches of economic activity; therefore, their productivity gains are unequally distributed. This article provides explanatory elements on the relationship between technological progress and structural heterogeneity. The question guiding the research is: how does structural heterogeneity induce asymmetries in the exploitation of technological progress? The statistical and econometric results show that the incorporation of technological progress in the Colombian manufacturing industry is uneven, since the knowledge-intensive branches of activity have different productive capacities from those of the low knowledge-intensive industry. These capacities follow patterns associated with a factorial intensity in favor of fixed capital, which offers better possibilities for incorporating new knowledge.</t>
  </si>
  <si>
    <t>[Sanabria Gomez, Segundo Abrahan] Univ Pedag &amp; Tecnol Colombia, Escuela Econ, Tunja, Colombia</t>
  </si>
  <si>
    <t>Gomez, SAS (corresponding author), Univ Pedag &amp; Tecnol Colombia, Escuela Econ, Tunja, Colombia.</t>
  </si>
  <si>
    <t>segundo.sanabria@uptc.edu.co</t>
  </si>
  <si>
    <t>La investigacion para este articulo</t>
  </si>
  <si>
    <t>La investigacion para este articulo no recibio financiacion de ninguna institucion publica ni privada.</t>
  </si>
  <si>
    <t>Agazzi Evandro., 1998, PHILOS TECHNOLOGY, V4, P80; Aghion P., 2021, PODER DESTRUCCION CR; Andersen ES, 2007, ELGAR ORIG REF, P754; Antonelli C., 2015, EC KNOWLEDGE INNOVAT, P1538; Araujo RA, 2015, STRUCT CHANGE ECON D, V33, P25, DOI 10.1016/j.strueco.2015.02.002; Araujo Ricardo Azevedo, 2011, Nova econ., V21, P331, DOI 10.1590/S0103-63512011000300001; Argyrous G., 2005, EC CRECIMIENTO DIRIG, P247; Audretsch D., 1997, IND CORP CHANGE, V6, P49, DOI DOI 10.1093/icc/6.1.49; Barbosa N, 2014, IND CORP CHANGE, V23, P865, DOI 10.1093/icc/dtt029; BASALLA G., 2011, EVOLUCION TECNOLOGIA; Bielschowsky R, 2009, CEPAL REV, P171; Bogliacino F, 2017, IND CORP CHANGE, V26, P467, DOI 10.1093/icc/dtw045; Brunini Álvaro, 2013, Econ. soc., V22, P197, DOI 10.1590/S0104-06182013000100007; Burachik G, 2000, REV CEPAL, V71, P85; Camacho Ballesta José Antonio, 2018, Inv. Econ, V77, P130; Cantner U, 2018, IND CORP CHANGE, V27, P833, DOI 10.1093/icc/dty028; Cantner U, 2007, ELGAR ORIG REF, P493; Capozza C, 2020, IND CORP CHANGE, V29, P935, DOI 10.1093/icc/dtaa006; CHENA P., 2010, COMERCIO EXTERIOR, V60, P99; Ciarli T, 2016, STRUCT CHANGE ECON D, V38, P38, DOI 10.1016/j.strueco.2016.04.006; Cimoli M., 2005, HETEROGENEIDAD ESTRU, P9; Cimoli M., 1995, J EVOLUTIONARY EC, V5, P243, DOI DOI 10.1007/BF01198306; Cimoli M, 2007, PROGRESO TECNICO CAM; Cimoli M, 2008, J ECON ISSUES, V42, P327, DOI 10.1080/00213624.2008.11507142; Cimoli M, 2014, CAMB J ECON, V38, P215, DOI 10.1093/cje/bet020; Cimoli M, 2010, CAMB J ECON, V34, P389, DOI 10.1093/cje/ben060; Clausen T, 2012, IND CORP CHANGE, V21, P553, DOI 10.1093/icc/dtr051; DIFILIPPO A, 1976, TRIMEST ECON, V43, P167; Dinopoulos E, 2007, ELGAR ORIG REF, P688; DOSI G, 1982, RES POLICY, V11, P147, DOI 10.1016/0048-7333(82)90016-6; Dosi G., 1994, J EVOLUTIONARY EC, V4, P153, DOI DOI 10.1007/BF01236366; Echavarria Juan Jose., 1999, CRISIS IND LECCIONES; Elster J., 2000, CAMBIO TECNOLOGICO I; Fagerberg J., 2000, Structural Change and Economic Dynamics, V11, P393, DOI 10.1016/S0954-349X(00)00025-4; Fagerberg J, 2007, ELGAR ORIG REF, P705; Feijo C, 2012, CEPAL REV, P115; Foster J, 2007, ELGAR ORIG REF, P733; Frenkel A., 2015, EC KNOWLEDGE INNOVAT, P2034; Fu XL, 2021, IND CORP CHANGE, V30, P233, DOI 10.1093/icc/dtaa058; García Isaza José Guillermo, 2006, Cuad. Econ., V25, P57; Hirshman A, 1958, ESTRATEGIA DESARROLL; Huerta de Soto J., 2012, ICE REV EC, V1, P55; Isabella F, 2014, 5 U REP I EC; Kampik F, 2011, IND CORP CHANGE, V20, P661, DOI 10.1093/icc/dtr008; Katz J., 2007, REV EC POLITICA BUEN, V1, P71; Keynes J., 1936, TEORIA GEN OCUPACION; Latinoamericano, TRIMESTRE EC, V32, P3; Lorente L, 2020, DINAMICA CRECIMIENTO; Los B, 2007, ELGAR ORIG REF, P574; Malerba F, 2007, ELGAR ORIG REF, P344; Mancini M., 2014, REV H INDUSTRI, V8, P112; McCombie J, 2005, EC CRECIMIENTO DIRIG, P93; Missio F, 2017, STRUCT CHANGE ECON D, V42, P67, DOI 10.1016/j.strueco.2017.06.002; Mokyr J., 2008, DONES ATENEA ORIGENE; MOKYR J., 1993, PALANCA RIQUEZA CREA; Mokyr J, 2003, LONG TERM EC GROWTH; MYRDAL G., 1968, TEORIA EC REGIONES S; Nell E., 2005, EC CRECIMIENTO DIRIG, P261; Nelson R.R., 1982, EVOLUTIONARY THEORY; Ocampo J. A., 2008, REV TRABAJO, P17; Ortiz C, 2012, CRECIMIENTO EC IND E; Pasinetti L, 1993, STRUCTURAL EC DYNAMI, DOI [10.1017/CBO9780511551444, DOI 10.1017/CBO9780511551444]; Perez C., 2004, REVOLUCIONES TECNOLO; Pierson P, 2000, AM POLIT SCI REV, V94, P251, DOI 10.2307/2586011; Piketty T., 2014, CAPITAL SIGLO 21; Piketty T., 2015, EC DESIGUALDADES COM; PINTO A, 1970, TRIMEST ECON, V37, P83; Pinto A., 1965, CONCENTRACION PROGRE; Prebisch R., 2008, CEPAL REV, V96, P27; Prebisch Raul, 1981, CAPITALISMO PERIFERI; Reichstein T, 2006, IND CORP CHANGE, V15, P653, DOI 10.1093/icc/dtl014; Reinert Erik, 2002, CUADERNOS DIFUSION, P7; Robert V., 2014, TOPICOS TEORIA EVOLU, VI, P124; Robert V, 2016, STRUCT CHANGE ECON D, V38, P3, DOI 10.1016/j.strueco.2015.11.004; Rodriguez O.=, 2006, ESTRUCTURALISMO LATI; Saviotti P., 2015, EC KNOWLEDGE INNOVAT, P835; Scherer FM, 2007, ELGAR ORIG REF, P671; Schmookler J, 1979, EC CAMBIO TECNOLOGIC, P107; Schmutzler J, 2018, IND CORP CHANGE, V27, P243, DOI 10.1093/icc/dtx034; Schumpeter J., 1968, ENSAYOS; Schumpeter Joseph, 1984, CAPITALISMO SOCIALIS; Setterfield M, 2005, EC CRECIMIENTO DIRIG, P255; SILVERBERG G, 1988, ECON J, V98, P1032, DOI 10.2307/2233718; Vilamil J, 1967, COLOMBIA ESTRUCTURA; Wooldridge JM, 2010, ECONOMETRIC ANALYSIS OF CROSS SECTION AND PANEL DATA, 2ND EDITION, P1; Young AA, 1928, ECON J, V38, P527, DOI 10.2307/2224097</t>
  </si>
  <si>
    <t>10.19053/01203053.v41.n73.2022.13524</t>
  </si>
  <si>
    <t>0F6VA</t>
  </si>
  <si>
    <t>WOS:000777493700006</t>
  </si>
  <si>
    <t>Poveda-Sotelo, Y; Bermudez-Cella, MA; Gil-Leguizamon, P</t>
  </si>
  <si>
    <t>Poveda-Sotelo, Yoan; Bermudez-Cella, Mauricio A.; Gil-Leguizamon, Pablo</t>
  </si>
  <si>
    <t>Evaluation of supervised classification methods for the estimation of spatiotemporal changes in the Merchan and Telecom paramos, Colombia</t>
  </si>
  <si>
    <t>BOLETIN DE GEOLOGIA</t>
  </si>
  <si>
    <t>Supervised classification; Kappa Index; Machine Learning; Paramo; Remote sensing</t>
  </si>
  <si>
    <t>VEGETATION; COVER</t>
  </si>
  <si>
    <t>In recent years there has been significant progress in Geographic Information Systems (GIS) and the development of supervised classification methods, but until now these had not been used to accurately calculate the surface extent of paramos in sectors of the Eastern Cordillera of Colombia. Furthermore, these methods had not been used to estimate the distance between the boundaries of these moors and major geological features. For this reason, in the present research, five different supervised classification methods were evaluated, with the purpose of determining which of them has a higher resolution in order to reproduce the extension and surface distribution of the paramos of Merchan and Telecom in Saboya, Boyaca, belonging to the Merchan - Iguaque complex in the Eastern Cordillera of Colombia. For this purpose, satellite images of the study area by Landsat 8 for the year 2018 were chosen and classified into some algorithms based on Machine Learning (SVM, RF, DT, BC and ANN). To establish the accuracy and reliability of the classification data of the terrain features, the Kappa Index was calculated, which allowed determining that the most accurate method for this case was Random Forest. In addition, since the boundaries of the moorlands coincide with geological structures or contacts between formations, the distance between the edge of the moorlands and these features was estimated. The results obtained in this research are considered as an important input for future multitemporal analysis as in landscape metrics, which serve as a tool for the development and decision making in the management of natural resources, biodiversity, provision of ecosystem services, as in the land use planning for the municipality of Saboya-Boyaca.</t>
  </si>
  <si>
    <t>[Poveda-Sotelo, Yoan] Univ Pedag &amp; Tecnol Colombia, Ciencias Tierra, Sogamoso, Colombia; [Bermudez-Cella, Mauricio A.] Univ Pedag &amp; Tecnol Colombia, Escuela Ingn Geol, Sogamoso, Colombia; [Gil-Leguizamon, Pablo] Univ Pedag &amp; Tecnol Colombia, Escuela Ingn Ambiental, Tunja, Colombia</t>
  </si>
  <si>
    <t>Poveda-Sotelo, Y (corresponding author), Univ Pedag &amp; Tecnol Colombia, Ciencias Tierra, Sogamoso, Colombia.</t>
  </si>
  <si>
    <t>yoan.poveda@uptc.edu.co; mauricio.bermudez@uptc.edu.co; pablo.gil@uptc.edu.co</t>
  </si>
  <si>
    <t>Bermudez, Mauricio A/0000-0003-0584-4790</t>
  </si>
  <si>
    <t>Aly AA, 2016, SOLID EARTH, V7, P713, DOI 10.5194/se-7-713-2016; Arellano-P H, 2008, CALDASIA, V30, P355; Ayala-Izurieta JE, 2017, GEOSCIENCES, V7, DOI 10.3390/geosciences7020034; Becerra-Serial R.M., 2009, REV GEOGRAFICA, V146, P125; Belgiu M, 2016, ISPRS J PHOTOGRAMM, V114, P24, DOI 10.1016/j.isprsjprs.2016.01.011; Borras J., 2017, REV TELEDETEC, V48, P55, DOI [10.4995/raet.2017.7133, DOI 10.4995/RAET.2017.7133]; Bravo-Morales N.F., 2020, TELEDETECCION PROCES; Cervantes J., 2009, THESIS I POLITECNICO; CHUVIECO E., 1995, FUNDAMENTOS TELEDETE; CHUVIECO SA, 2002, TELEDETECCION AMBIEN; Cleef A. M., 2008, PANORAMA PERSPECTIVA, P26; de León Mata Gerardo Daniel, 2014, Invest. Geog, P42, DOI 10.14350/rig.36568; De'ath G, 2000, ECOLOGY, V81, P3178, DOI 10.2307/177409; Di Somma A., 2010, IBERIAN GEOGRAPHY C, V12; dos Santos D.I., 2015, GEOGRAPHY NOTEBOOK, V25, P34, DOI [10.5752/p.2318- 2962.2015v25n43p34, DOI 10.5752/P.2318-2962.2015V25N43P34]; Espejo O., 2016, THESIS U DISTRITAL F; Fragoso-Campon L., 2019, VXIII C SPANISH REMO; Friedl MA, 1997, REMOTE SENS ENVIRON, V61, P399, DOI 10.1016/S0034-4257(97)00049-7; Fuquen J.A., 2005, I1794 INGEOMINAS; Garavito L., INGENIARE U LIBR, V2015, P127, DOI DOI 10.18041/1909-2458/INGENIARE.19.530; Gonzales L., 2006, VINCULOS, V3, P35; Gonzalez A.R., 2011, 6 JORN JOV INV; IDEAM, 2011, AP IDEAM DEF APL EST; IDEAM, 2010, LEYEND NAC COB TIERR; Jaramillo LV, 2018, REV TELEDETEC, P33, DOI 10.4995/raet.2018.8995; K Cortes J, 2013, VISION SOCIOECOSISTE; Lanzarini L.C, 2004, J COMPUTER SCI TECHN, V4, P122; Llactayo W., 2014, PROTOCOLO EVALUACION; Llanos-Hernandez L, 2010, AGRIC SOC DESARRO, V7, P207; Lozada J.R., 2007, REV FORESTAL VENEZOL, V51, P195; Manna S, 2013, INDIAN J GEO-MAR SCI, V42, P331; Morales M., 2007, ATLAS PARAMOS COLOMB; Moya-Fuero A., 2012, THESIS U VALENCIA ES; Munoz-Guerrero D., 2009, REV CIENC AGRIC, V26, P11; Murillo-Castaneda R.A., 2018, THESIS U DISTRITAL F; Padron J, 2007, CINTA MOEBIO, V28, P1; Paredes-Inilupu D., 2020, DATA SCI CON R ANALI; Parra F, 2017, STAT MACHINE LEARNIN; Riquelme J. C., 2006, INTELIGENCIA ARTIFIC, V10, P11; Sanchez-Pellicer T., 2017, 17 CONGRESO NACL TEL; Sanhouse-Garcia A.J., 2017, REMOTE SENS APPL SOC, V8, P278, DOI [10.1016/J.RSASE.2016.11.002, DOI 10.1016/J.RSASE.2016.11.002]; Sepulveda-Varas A, 2019, REV GEOGR NORTE GD, P9, DOI 10.4067/S0718-34022019000100009; Terraza R., 2004, THESIS U NACL COLOMB; Torres G. Alba M., 2012, Bol. Cient. Mus. Hist. Nat. Univ. Caldas, V16, P132; Ulloa C., 1978, MAPA GEOLOGICO PRELI; Velasco-Linares P, 2015, PATRONES ECOLOGICOS; Willington E., 2013, ARGENTINE C AGROINFO</t>
  </si>
  <si>
    <t>UNIV INDUSTRIAL SANTANDER</t>
  </si>
  <si>
    <t>SANTANDER</t>
  </si>
  <si>
    <t>CIUDAD UNIV, CARRERA 27, CALLE 9, SANTANDER, BUCARAMANGA 00000, COLOMBIA</t>
  </si>
  <si>
    <t>0120-0283</t>
  </si>
  <si>
    <t>2145-8553</t>
  </si>
  <si>
    <t>B GEOLOGIA</t>
  </si>
  <si>
    <t>Bol. Geol.</t>
  </si>
  <si>
    <t>10.18273/revbol.v44n2-2022002</t>
  </si>
  <si>
    <t>Geology</t>
  </si>
  <si>
    <t>2Y9QD</t>
  </si>
  <si>
    <t>WOS:000826221200002</t>
  </si>
  <si>
    <t>Martin, AFM; Cascante, ARO</t>
  </si>
  <si>
    <t>Martinez Martin, Abel Fernando; Otalora Cascante, Andres Ricardo</t>
  </si>
  <si>
    <t>Litle by little The church of the Society of Jesus in Tunja, 1611-1986</t>
  </si>
  <si>
    <t>IHS ANTIGUOS JESUITAS EN IBEROAMERICA</t>
  </si>
  <si>
    <t>New Granada architecture; American Church History; Urban history; Church of the Society of Jesus; Tunja</t>
  </si>
  <si>
    <t>This paper explores the origins of the church of the Society of Jesus in Tunja dated from the beginning of the 17th century, when the temple was start inside a house half a block from the main square, acquired by the Jesuits to stablish their school-novitiate, which grew with many difficulties until it was completed on the site of the original house. For a century, the church served as the college-novitiate, without direct access from the outside. The facade can only be seen from the street in the middle of the 18th century. After the expulsion, the change of uses of the temple began, which would become a convent-hospital and college-university. In the seventies of the 20th century, an intervention was carried out for tourist purposes that disfigured its spatiality and turned it into a concert hall. Today it is used again as a temple.</t>
  </si>
  <si>
    <t>[Martinez Martin, Abel Fernando] Hosp San Rafael Tunja, Museo Hist Med &amp; Salud, Fac Ciencias Salud UPTC, Tunja, Colombia; [Otalora Cascante, Andres Ricardo] Univ Pedag &amp; Tecnol Colombia UPTC, Grp Hist Salud Boyaca, Tunja, Colombia</t>
  </si>
  <si>
    <t>Martin, AFM (corresponding author), Hosp San Rafael Tunja, Museo Hist Med &amp; Salud, Fac Ciencias Salud UPTC, Tunja, Colombia.</t>
  </si>
  <si>
    <t>abelfmartinez@gmail.com; arotalorac@unal.edu.co</t>
  </si>
  <si>
    <t>[Anonymous], 1992, SEMANA; Borda J. J., 1872, HIST COMPANIA JESUS; Cassani Jose, 1741, HIST PROVINCIA COMPA; Cid P., 2018, INVESTIGACION PENSAM, P30; Colcultura, 1996, GUIA CIUD HIST POP C; Corradine A., 1990, ARQUITECTURA TUNJA; Correa R. C, 1973, REPERTORIO BOYACENSE, P3649; Correa R. C., 1940, REPERTORIO BOYACENSE, V16, P455; Daza G. I., 1974, HERENCIA COLONIAL 4; De Mesa J, 1978, B CTR INVESTIGACIONE, P125; Del Rey Fajardo J., 2019, MONTALBAN, P816; Del Rey Fajardo J., 2010, EDUCADORES ASCETAS E; Fernandez de Piedrahita Lucas, 1942, HIST GEN CONQUISTAS; Fundacion para la Conservacion y la Restauracion del Patrimonio Cultural Colombiano, 1991, RESC PATR ARQ COL; Guti?rrez, 2014, CARTAS ANUAS PROVINC; Guti?rrez, 2015, CARTAS ANUAS PROVINC; Instituto Geografico, AG COD IGAC; Lopez C., 2010, APUNTES, P70; Marco Dorta E., 1942, ARQUITECTURA RENACIM; Martinez Martin A. F., 2020, GENTES PUEBLOS BATAL, P151; Mercado de P., 1958, HIST PROVINCIA NUEVO; Moradi F., 2009, P NATO S US M S SUPP, P1; Pacheco J. M., 1951, ECCLESIASTICA XAVERI, P249; Pacheco J. M., 1959, JESUITAS COLOMBIA TI; Pacheco J. M., 1975, HIST ECLESIASTICA TI, VXIII, P493; Rojas U, 1962, CORREGIDORES JUSTICI; Rojas U, 1972, REPERTORIO BOYACENSE, P3507; Rojas U., 1939, ESCUDOS ARMAS INSCRI; Rubio O., 1909, HIST TUNJA FUNDACIN; Salcedo Salcedo J, 1973, BOLETN CTR INVESTIGA, P161; Sebastian S., 1963, ALBUM ARTE COLONIAL; Sebastian Santiago, 2006, ESTUDIOS ARTE ARQUIT, P254; Serrano Garcia M., 2018, HISP SACRA, P211; Vallin R., 1998, IMAGENES BAJO CAL PA</t>
  </si>
  <si>
    <t>CENTRO INVESTIGACIONES SOC &amp; CULTURA</t>
  </si>
  <si>
    <t>CORDOBA</t>
  </si>
  <si>
    <t>ROUNDEAU 471, NUEVA CORDOBA, CORDOBA, 5000, ARGENTINA</t>
  </si>
  <si>
    <t>2314-3908</t>
  </si>
  <si>
    <t>IHS ANTIG JESUITAS I</t>
  </si>
  <si>
    <t>IHS Antig. Jesuitas Iberoam.</t>
  </si>
  <si>
    <t>10.31057/2314.3908.v10.37312</t>
  </si>
  <si>
    <t>1K2JM</t>
  </si>
  <si>
    <t>WOS:000798433700001</t>
  </si>
  <si>
    <t>Amaris-Ruidiaz, P</t>
  </si>
  <si>
    <t>Amaris-Ruidiaz, Paola</t>
  </si>
  <si>
    <t>An education as an affect practice: what can a mathematics teacher do?</t>
  </si>
  <si>
    <t>PRAXIS &amp; SABER</t>
  </si>
  <si>
    <t>narratives; affects; mathematic education; cartographic mapping</t>
  </si>
  <si>
    <t>The proposal is to reflect on the power of affections in and for mathematic education. This text is created as a field of questioning from a philosophical perspective. Thus, allied thinkers are summoned: Baruch Spinoza, Friedrich Nietzsche and Gilles Deleuze, to create a differential relationship and Spinoza's ethical question: What can a body? In that sense: What can a math teacher do in the classroom and at school? For this, the following will be walked: firstly, to understand education and mathematical education as practices of affections, secondly, a cartographic mapping of a school in Brazil will be shown -methodological possibility raised by Gilles Deleuze &amp; Felix Guattari-, which makes visible the productions of subjectivity, power and resistance of a group of mathematic teachers through narratives (R), the result of a doctoral research. As a third and last moment, reflect on what extent are educators capable of producing affects mediated by the world that potentiate a life that wants to be lived? And in this way, think of other possibilities that can enhance their own teaching practice.</t>
  </si>
  <si>
    <t>[Amaris-Ruidiaz, Paola] Univ Pedag &amp; Tecnol Colombia, Boyaca, Colombia</t>
  </si>
  <si>
    <t>Amaris-Ruidiaz, P (corresponding author), Univ Pedag &amp; Tecnol Colombia, Boyaca, Colombia.</t>
  </si>
  <si>
    <t>paola.amaris@uptc.edu.co</t>
  </si>
  <si>
    <t>Agudelo Palacio Luis Javier, 2011, Escritos - Fac. Filos. Let. Univ. Pontif. Bolivar., V19, P351; Amaris-Ruidiaz P., 2020, REV EDUCACAO MATEMA, V28, P1; Amaris-Ruidiaz P., 2021, REV INTERINSTITUCION, V7, P378; Amaris-Ruidiaz P., 2018, ALEXANDRIA REV EDUCA, V11, P13; Amaris-Ruidiaz P., 2018, THESIS U ESTADUAL PA; Amaris-Ruidiaz P., 2019, ENCONTRO NACL EDUCAC, P1; Ayala M., 2018, INEVITABILIDAD ETICA; Barcena F., 2000, ENRAHONAR; Carvalho J., 2018, REV BRAS EDUC, V23; Castellanos Y., 2020, PRAX SABER, V11, P9879, DOI [10.19053/22160159.v11.n26.2020, DOI 10.19053/22160159.V11.N26.2020]; De Barros L., 2009, PISTAS METODO CARTOG; Deleuze G., 2003, SPINOZA PHILOS PRATI; Deleuze G., 2002, DIFERENCIA REPETICIO; Deleuze G., 1998, DIALOGOS; Deleuze G., 2006, DIFERENCA REPETICAO, V2; DELEUZE Gilles, 1995, MIL PLATOS CAPITALIS, V1; Diaz Santiago, 2014, Fractal, Rev. Psicol., V26, P495, DOI 10.1590/1984-0292/1331; Foucault M., 2000, DITOS ESCRITOS; Hardt M., 2015, INTERSEMIOSE REV DIG, P9; Jiménez Espinosa Alfonso, 2020, Prax. Saber, V11, pe11419, DOI 10.19053/22160159.v11.n26.2020.11419; LAVAL C., 2019, ESCOL NAO E UM EMPRE; Lins R, 1999, PESQUISA EDUCACAO MA, P75; Lordon F., 2018, SOC AFECTOS ESTRUCTU; Mariño-Díaz Liliana Andrea, 2016, Prax. Saber, V7, P81, DOI 10.19053/22160159.v7.n15.2016.5724; Nietzsche F., ALEM BEM MAL PRELUDI; NIETZSCHE F., 2001, A GAIA CIENCIA; Popkewitz T., 2022, CONVERSACION TEORIA, P168; Rolnik S., 2014, CARTOGRAFIA SENTIMEN; Serrano V., 2014, IDEAS VALORES, V63, P31; Silva M. A., 2019, LINHAS CRITICAS, V25, P381; Spinoza B., 1980, ETICA DEMOSTRADA SEG; Tadeu T., 2002, EDUC REAL, V27; Vilela E., 1998, CORPO EQUIVOCO; Vilela E., 2009, CALLE14 REV INVESTIG, V3, P10</t>
  </si>
  <si>
    <t>2216-0159</t>
  </si>
  <si>
    <t>2462-8603</t>
  </si>
  <si>
    <t>PRAX SABER</t>
  </si>
  <si>
    <t>Prax. Saber</t>
  </si>
  <si>
    <t>e15009</t>
  </si>
  <si>
    <t>10.19053/22160159.v14.n36.2023.15009</t>
  </si>
  <si>
    <t>G1HH2</t>
  </si>
  <si>
    <t>WOS:000986746500003</t>
  </si>
  <si>
    <t>Fonseca-Lopez, D; Molano, CER; Monroy-Fonseca, L</t>
  </si>
  <si>
    <t>Fonseca-Lopez, Dania; Rodriguez Molano, Carlos Eduardo; Monroy-Fonseca, Lily</t>
  </si>
  <si>
    <t>Ultrasonographic evaluation of morphometric measurements of plantar metatarsal tendons and ligaments in Colombian Creole horses</t>
  </si>
  <si>
    <t>REVISTA MVZ CORDOBA</t>
  </si>
  <si>
    <t>Starch; Lactic acid bacteria; bacterial counting; microbial growth; culture media; whey</t>
  </si>
  <si>
    <t>FERMENTATION; WHEY</t>
  </si>
  <si>
    <t>Objective. Evaluate lacto-serum as a source of mesophils with lactic acid activity in complex culture medium with sago starch (Canna indica L.). Materials and methods. Three culture media were analyzed for mesophilic lacto-serum bacteria differentiated by the inclusion of sago starch (Canna indica L.) (0, 0.5 and 1%). Control treatments were refrigerated (-4 degrees C) and non-refrigerated (18 degrees C) lacto-serum. Mesophilic growth, pH, acidity level, and total soluble solids were evaluated at 24 h intervals for 5 days; and lactic acid concentration at the end of the test. Results. The pH and total soluble solids (degrees Brix) decreased in all treatments, the % acidity increased over time and at the end of the trial the highest content of lactic acid was 32.5 and 37.2 g/L for the formulations with 0.5 and 1% sago starch respectively. Mesophilic growth was low in the 1% starch formulation and high in the non-refrigerated serum. Conclusions. Lacto-serum is a good source of mesophiles with lactic acid activity, reaching up to 37.2 g/L lactic acid in complex culture medium including 1% sago starch.</t>
  </si>
  <si>
    <t>[Fonseca-Lopez, Dania; Monroy-Fonseca, Lily] Univ Pedag &amp; Tecnol Colombia, Escuela Med Vet &amp; Zootecnia, Grp Invest GIBNA, Tunja, Colombia; [Rodriguez Molano, Carlos Eduardo] Univ Pedag &amp; Tecnol Colombia, Escuela Ciencias Quim, Tunja, Colombia</t>
  </si>
  <si>
    <t>Fonseca-Lopez, D (corresponding author), Univ Pedag &amp; Tecnol Colombia, Escuela Med Vet &amp; Zootecnia, Grp Invest GIBNA, Tunja, Colombia.</t>
  </si>
  <si>
    <t>dania.fonseca@uptc.edu.co</t>
  </si>
  <si>
    <t>Ali AH, 2019, INT J DAIRY TECHNOL, V72, P169, DOI 10.1111/1471-0307.12572; [Anonymous], 2022, REV MVZ CORDOBA, V27, P2660; Bahry H, 2019, J BIOTECHNOL, V306, P81, DOI 10.1016/j.jbiotec.2019.09.017; Bernardo MP, 2016, BRAZ J MICROBIOL, V47, P640, DOI 10.1016/j.bjm.2015.12.001; Besir A, 2021, LWT-FOOD SCI TECHNOL, V139, DOI 10.1016/j.lwt.2020.110602; Brandelli A, 2015, FOOD RES INT, V73, P149, DOI 10.1016/j.foodres.2015.01.016; Cagri-Mehmetoglu A, 2012, J DAIRY SCI, V95, P3643, DOI 10.3168/jds.2012-5385; Deep G, 2012, J DAIRY SCI, V95, P6332, DOI 10.3168/jds.2012-5649; Diaz-Vela J, 2012, VITAE-COLUMBIA, V19, P253; Figueira ACM, 2014, BIOCHEM MOL BIOL EDU, V42, P81, DOI 10.1002/bmb.20745; Fonseca-López Dania, 2019, Rev. Lasallista Investig., V16, P44, DOI 10.22507/rli.v16n2a4; Fonseca-López Dania, 2018, rev.colomb.cienc.hortic., V12, P175, DOI 10.17584/rcch.2018v12i1.7416; Fonseca-Lopez D, 2020, REV CORPOICA-CIENC T, V21, DOI 10.21930/rcta.vol21_num1_art:1342; Fonseca-Lopez D, 2019, LOGOS CIENC TECNOL, V11, P93, DOI 10.22335/rlct.v11i2.825; Garcés Felipe Rafael, 2013, Bioagro, V25, P207; Johnson ME, 2017, J DAIRY SCI, V100, P9952, DOI 10.3168/jds.2017-12979; Khramtsov AG, 2019, FOOD RAW MATER, V7, P291, DOI 10.21603/2308-4057-2019-2-291-300; Kim M, 2021, APPL BIOL CHEM, V64, DOI 10.1186/s13765-020-00582-2; Miranda-Yuquilema J. E., 2018, Tropical and Subtropical Agroecosystems, V21, P46; Parashar A, 2016, J DAIRY SCI, V99, P1859, DOI 10.3168/jds.2015-10059; Pawar HA, 2018, INT J BIOL MACROMOL, V115, P871, DOI 10.1016/j.ijbiomac.2018.04.146; Reihani SFS, 2019, ELECTRON J BIOTECHN, V37, P34, DOI 10.1016/j.ejbt.2018.11.005; Rodriguez-Molano C, 2019, CIENCIA DESARROLLO, V10, P23, DOI [10.19053/01217488.v10.n2.2019.9098, DOI 10.19053/01217488.V10.N2.2019.9098]; Salari M, 2019, INT J BIOL MACROMOL, V122, P280, DOI 10.1016/j.ijbiomac.2018.10.136; Sarhan MS, 2019, J ADV RES, V19, P15, DOI 10.1016/j.jare.2019.04.002; Sen KY, 2019, BIOCATAL AGRIC BIOTE, V17, P51, DOI 10.1016/j.bcab.2018.11.006; Soupioni M, 2019, HELIYON, V5, DOI 10.1016/j.heliyon.2019.e01262; Yi LY, 2016, EUR FOOD RES TECHNOL, V242, P1285, DOI 10.1007/s00217-015-2632-6; ZacariasSanchez KI, 2019, FRONT MICROBIOL, V15, P10, DOI [10.19044/esj.2019.v15n25p1, DOI 10.19044/ESJ.2019.V15N25P1]; Zhang SH, 2021, FOOD CHEM, V346, DOI 10.1016/j.foodchem.2020.128860; Zou Y, 2017, J ANIM SCI BIOTECHNO, V8, DOI 10.1186/s40104-017-0182-4</t>
  </si>
  <si>
    <t>UNIV CORDOBA</t>
  </si>
  <si>
    <t>MONTERIA</t>
  </si>
  <si>
    <t>FAC MEDICINA VETERINARIA Y ZOOTECNIA, KM 26, VIA CIENEGA DE ORO, APARTADO AEREO NO 354, MONTERIA, 00000, COLOMBIA</t>
  </si>
  <si>
    <t>0122-0268</t>
  </si>
  <si>
    <t>1909-0544</t>
  </si>
  <si>
    <t>REV MVZ CORDOBA</t>
  </si>
  <si>
    <t>Rev. MVZ Cordoba</t>
  </si>
  <si>
    <t>e2440</t>
  </si>
  <si>
    <t>10.21897/rmvz.2440</t>
  </si>
  <si>
    <t>Agriculture, Dairy &amp; Animal Science</t>
  </si>
  <si>
    <t>9V0GD</t>
  </si>
  <si>
    <t>WOS:000948079100003</t>
  </si>
  <si>
    <t>Millan, OUG; Millan, JJG; Gutierrez, DFP</t>
  </si>
  <si>
    <t>Gonzalez Millan, Oscar Ulises; Gonzalez Millan, Jose Javier; Patarroyo Gutierrez, Diego Ferney</t>
  </si>
  <si>
    <t>Modus vivendi of coal miners in the province of Sugamuxi in Boyaca - Colombia</t>
  </si>
  <si>
    <t>Mining; Carbon; Socio-Economic; Mines</t>
  </si>
  <si>
    <t>Mining in recent years has become a controversial issue, since on the one hand it has economically benefited the country and the families that depend on this activity but it has also shown the environmental damage that bad practices and low social responsibility have made the sector and mining one of the most discussed. Therefore, the present research explores the different concepts, practices, norms, statistics and characterization of human talent linked to the work of coal mining in the province of Sugamuxi, giving special emphasis to the path of Morca, characterized by being of mining vocation and for being the first municipality object of study in the macro project of mining characterization. It is considered that to achieve the objective of the research, the adjusted survey of RELAVE (2002) was used as an information collection tool, which, as a study in process, was applied to 100 workers of the coal mines of the municipality distributed in the various mines found in that sector.</t>
  </si>
  <si>
    <t>[Gonzalez Millan, Oscar Ulises] Univ Pedag &amp; Tecnol Colombia, Salud &amp; Seguridad Trabajo, Escuela Ingn Minas, Fac Sede Sogamoso, Ave Cent Norte 39-115, Tunja 150003, Boyaca, Colombia; [Gonzalez Millan, Jose Javier] Univ Pedag &amp; Tecnol Colombia, Escuela Adm Empresas, Calle 4,Sur 15-134, Sogamoso, Boyaca, Colombia; [Patarroyo Gutierrez, Diego Ferney] Cra 9 231, Yopal, Casanare, Colombia</t>
  </si>
  <si>
    <t>Millan, OUG (corresponding author), Univ Pedag &amp; Tecnol Colombia, Salud &amp; Seguridad Trabajo, Escuela Ingn Minas, Fac Sede Sogamoso, Ave Cent Norte 39-115, Tunja 150003, Boyaca, Colombia.</t>
  </si>
  <si>
    <t>oscar.gonzalez02@uptc.edu.co; javier.gonzalezmillan@uptc.edu.co; diego.patarroyo@uptc.edu.co</t>
  </si>
  <si>
    <t>[Anonymous], DECRETO 1666 2016; [Anonymous], 2012, ING COMPET, V14, P147; Campos-Sanchez A., 2016, Mineria y Geologia, V32, P160; Cuellar F. R., 2015, MEM SOC, V19, P196; Garrote-Wilches Carolina F., 2014, Rev. Univ. Ind. Santander. Salud, V46, P237; Gaytán Edgar, 2014, Lect. Econ., P103; Jimenez-Forero CP, 2015, BIOMEDICA, V35, P77, DOI [10.7705/biomedica.v35i0.2439, 10.1590/S0120-41572015000500009]; Ministerio de minas y energia, 2017, INF EST MIN, P1; Minminas, 2016, POLITICA MINERA COLO; OSPINA DÍAZ JUAN MANUEL, 2010, av.enferm., V28, P107; Osorno MP, 2017, RECERCA, P157, DOI 10.6035/Recerca.2017.20.8; Procuraduria General De La Nacion, 2010, 29 PROC GEN NAC, P29; Quijano P., 2010, ELEMENTOS DIAGNOSTIC; Echeverri DR, 2012, REV EDUC ING, V7, P10; Sampieri H. R., 2010, METODOLOGIA INVESTIG; Serrano Ana Milena, 2016, Tend., V17, P104, DOI 10.22267/rtend.161701.16; Torres E. A., 2015, MEM SOC, V19, P128; Vega y Ortega Baez Rodrigo Antonio, 2017, Estud. hist. mod. contemp. Mex, P62, DOI 10.1016/j.ehmcm.2017.10.002; Vidal C. A., 2010, HIST MEDIEVAL, V3, P15; Villegas N, 2013, REV CES SALUD PUBLIC, V4, P106</t>
  </si>
  <si>
    <t>10.7769/gesec.v14i4.1981</t>
  </si>
  <si>
    <t>F2LW8</t>
  </si>
  <si>
    <t>WOS:000980721900006</t>
  </si>
  <si>
    <t>Pardo-Parada, LC</t>
  </si>
  <si>
    <t>Carolina Pardo-Parada, Linda</t>
  </si>
  <si>
    <t>Tactical urban design strategies in heritage places: case Bosque de la Republica, Tunja</t>
  </si>
  <si>
    <t>REVISTA DE ARQUITECTURA-BOGOTA</t>
  </si>
  <si>
    <t>public space; historic urban park; cultural heritage; placemaking; tactical urbanism; assessment</t>
  </si>
  <si>
    <t>Places of urban memory, such as heritage parks, represent spaces of great complexity manifested in the social tensions that arise there. The purpose of the research was to study the Bosque de la Republica de Tunja case, identifying and analyzing everything that makes up its cultural significance, which defines its value as a city heritage. The need for proper management of the public-heritage place is urban opportune to propose strategies from the design aimed at satisfactorily solving problems and recognizing local actors as an essential part of any project to be carried out. This article mainly presents the study of two methodological tools as a strategic response to the problems and needs of the place, these are tactical urbanism and placemaking, with which bottom-up, creative and short-term processes encourage community development, local economic development, social inclusion, the preponderance of the environment and, in general, the quality of life of citizens. These methodologies considering the recognition of the values of the place as the basis for proposing projects that generate a system of resignification and activation of the place of memory, and in itself, of the city itself.</t>
  </si>
  <si>
    <t>[Carolina Pardo-Parada, Linda] Univ Pedag &amp; Tecnol Colombia, Fac Educ, Patrimonio Cultural, Tunja, Colombia</t>
  </si>
  <si>
    <t>Pardo-Parada, LC (corresponding author), Univ Pedag &amp; Tecnol Colombia, Fac Educ, Patrimonio Cultural, Tunja, Colombia.</t>
  </si>
  <si>
    <t>linda.pardo@uptc.edu.co</t>
  </si>
  <si>
    <t>Alberto J. A., 2016, GEOGRAFICA DIGITAL, V13, P1; [Anonymous], 2008, INT J CULT PROP, V15, P377, DOI 10.1017/S0940739108080417; AUGE M., 1993, LUGARES ESPACIOS ANO; Basurco Cayllahua K. I., 2019, THESIS; Bertalanffy L., 1976, TEORIA GEN SISTEMAS; Borrup T, 2013, J URBAN CULT RES, V7, P96; Center for Universal Design, 1997, PRINCIPLES UNIVERSAL; Conti A. L., 2009, PAISAJES HIST URBANO; De Certeau Michel, 1996, INVENCION COTIDIANO; Distrito de Columbia, 2018, PUBL SPAC ACT STEW G; Enriquez Santana K. M., 2021, PLACEMAKING ROL URBA; Garcia Canclini N., 1999, USOS SOCIALES PATRIM; Griffith J. D., 2016, REIMAGINING REALITY; Guber R., 2019, ETNOGRAFIA METODO CA; Hanley L. M., 2008, CTR H, P78; ICOMOS, 1999, CART BURR GUIA CONS; ICOMOS, 2011, PRINC VAL SALV GEST; Janoschka M., 2018, DESAFIOS METROPOLITA, P82; Jodelet Denise, 2010, Alteridades, V20, P81; Sanchez ML, 2021, ACE-ARCHIT CITY ENVI, V16, DOI 10.5821/ace.16.46.9524; Lydon Mike, 2015, TACTICAL URBANISM SH, DOI 10.5822/978-1-61091-567-0; Mantas N., 2015, P AESOP; Neder P., 2020, THEORY CHANGE PUBLIC; Nora Pierre, 1997, LIEUX MEMOIRE; Patino Zuluaga E., 2019, TADEO DEARTE, V5, P18, DOI [10.21789/24223158.1584, DOI 10.21789/24223158.1584]; Pendlebury J, 2017, J URBAN DES, V22, P429, DOI 10.1080/13574809.2017.1326712; Ruiz J, 2015, PERSPECT GEOGR, V20, P245; Sasser J, 2017, J URBAN AFF, V39, P740, DOI 10.1111/juaf.12287; Schroeder S, 2019, REV HABITAT SUSTENTA, V9, P7, DOI 10.22320/07190700.2019.09.01.01; Sierra Rodriguez I., 2010, PARQUES COMO ELEMENT; Silva A., 2000, IMAGINARIOS URBANOS; Santos VS, 2018, QUIROGA, P26; Tilden F, 1977, INTERPRETING OUR HER, V3; Velibeyoglu K., 1999, URBAN DESIGN POSTMOD</t>
  </si>
  <si>
    <t>UNIV CATOLICA COLOMBIA, FAC DISENO</t>
  </si>
  <si>
    <t>BOGOTA D C</t>
  </si>
  <si>
    <t>CARRERA 13 NO 47-49, BOGOTA D C, 00000, COLOMBIA</t>
  </si>
  <si>
    <t>1657-0308</t>
  </si>
  <si>
    <t>2357-626X</t>
  </si>
  <si>
    <t>REV ARQUIT</t>
  </si>
  <si>
    <t>Rev. Arquit.</t>
  </si>
  <si>
    <t>10.14718/RevArq.2023.25.4191</t>
  </si>
  <si>
    <t>Architecture</t>
  </si>
  <si>
    <t>F0YZ6</t>
  </si>
  <si>
    <t>WOS:000979704300005</t>
  </si>
  <si>
    <t>Cardenas, LAC; Moreno, KIE; Vega, ERA</t>
  </si>
  <si>
    <t>Caceres Cardenas, Luis Alberto; Eslava Moreno, Karen Ines; Alvarez Vega, Edwin Ricardo</t>
  </si>
  <si>
    <t>Effect of the addition of hemp fiber in the properties of strenght and resistivity in a clayey soil</t>
  </si>
  <si>
    <t>LOGOS CIENCIA &amp; TECNOLOGIA</t>
  </si>
  <si>
    <t>geological engineering; soil mechanics; construction materials; clay; natural fiber</t>
  </si>
  <si>
    <t>MECHANICAL-PROPERTIES; POLYPROPYLENE FIBER</t>
  </si>
  <si>
    <t>The investigation has the aim of finding the effect and adequate proportion of the hemp fiber of 4 cm in length, in the mechanical and resistivity properties of a clayey soil. Properties investi-gated include optimum moisture content (wopt); the maximum dry unit weight, (gamma dmax), cohesion (c); friction angle (Phi), unconfined compressive strength (qu), and electrical resistivity (rho). The modified Proctor compaction tests (ASTM D 1557-12), direct consolidated undrained shear, CU, for cohesive soils (ASTM 6528-17), unconfined compressive strength (ASTM D2166-16) and Wenner's four electrode test (ASTM G57-01l), were applied to three clay samples with different proportions of hemp fiber; standard sample, Ap, of 100 % clay from the city of Tunja, sample with 0.5 % and 0.75 % hemp fiber, A0.5 %, and A0.75 %, in relation to the dry weight of the mate-rial. The results of this study indicate that the optimal percentage of hemp is 0.5 %, showing a decrease in compaction, and an increase in shear strength, electrical resistivity properties and unconfined compression properties; nevertheless, with a greater presence of fiber, there is destruction of the clayey soil.</t>
  </si>
  <si>
    <t>[Caceres Cardenas, Luis Alberto; Eslava Moreno, Karen Ines; Alvarez Vega, Edwin Ricardo] Univ Pedag &amp; Tecnol Colombia, Tunja, Colombia</t>
  </si>
  <si>
    <t>Moreno, KIE (corresponding author), Univ Pedag &amp; Tecnol Colombia, Tunja, Colombia.</t>
  </si>
  <si>
    <t>ingenieraeslava@hotmail.com</t>
  </si>
  <si>
    <t>Abou Diab A, 2018, SOILS FOUND, V58, P462, DOI 10.1016/j.sandf.2018.02.013; Abou Diab A, 2016, INT J GEOTECH ENG, V10, P263, DOI 10.1080/19386362.2015.1132122; AbuHassanein ZS, 1996, J GEOTECH ENG-ASCE, V122, P397, DOI 10.1061/(ASCE)0733-9410(1996)122:5(397); Alvarez Vega E, 2018, CONGRESO IBEROAMERIC; Ammar A, 2019, INT J GEOMECH, V19, DOI 10.1061/(ASCE)GM.1943-5622.0001368; Attom MF, 2009, P I CIVIL ENG-GEOTEC, V162, P277, DOI 10.1680/geng.2009.162.5.277; Boz A, 2018, ARAB J GEOSCI, V11, DOI 10.1007/s12517-018-3458-x; Budhu M., 2020, SOIL MECH FDN; Cai Y, 2006, ENG GEOL, V87, P230, DOI 10.1016/j.enggeo.2006.07.007; Chegenizadeh A, 2011, ADV MATER RES-SWITZ, V250-253, P3223, DOI 10.4028/www.scientific.net/AMR.250-253.3223; Converse F., 1952, S DIRECT SHEAR TESTI, V131, P75; Das B.M., 2011, PRINCIPLES FDN ENG, V7th; Eichhorn SJ, 2001, J MATER SCI, V36, P2107, DOI 10.1023/A:1017512029696; Estabragh AR, 2017, ACI MATER J, V114, P195, DOI 10.14359/51689469; Fukue M, 1999, ENG GEOL, V54, P43, DOI 10.1016/S0013-7952(99)00060-5; Hunt R.E., 2005, GEOTECHNICAL ENG INV; Instituto de Hidrologia, 1999, MAC COL AR INFL INM; Lu N, 2012, J COMPOS MATER, V46, P1915, DOI 10.1177/0021998311427778; Mazhoud B, 2017, CONSTR BUILD MATER, V155, P1126, DOI 10.1016/j.conbuildmat.2017.08.121; Millogo Y, 2014, CONSTR BUILD MATER, V52, P71, DOI 10.1016/j.conbuildmat.2013.10.094; Mitchell J., 1970, J SOIL MECH FDN DIV, V95, P845; Naik JB, 2005, POLYM-PLAST TECHNOL, V44, P687, DOI 10.1081/PTE-200057818; Najjar S.S., 2014, GEOTECH SPEC PUBL, V2006, P1415, DOI [10.1061/9780784413272.138, DOI 10.1061/9780784413272.138]; Olgun M, 2013, GEOSYNTH INT, V20, P263, DOI 10.1680/gein.13.00016; Peck R., 2016, INGENIERIA CIMENTACI; Pozdnyakova L., 1999, ELECT PROPERTIES SOI; Prinz H., 2006, ABRISS INGENIEURGEOL, V4; RICHARDS L. A., 1954, Diagnosis and Improvement of Saline and Alkali Soils.; Wenner F., 1915, J FRANKLIN I, V180, P373, DOI [10.1016/S0016-0032(15)90298-3, DOI 10.1016/S0016-0032(15)90298-3]; Whitlow R., 1995, BASIC SOIL MECH; Widianti A., 2020, UKARST, V4, P151</t>
  </si>
  <si>
    <t>POLICIA NAC COLOMBIA</t>
  </si>
  <si>
    <t>CENTRO INVESTIGACIONES CRIMINOLOGICAS DIJIN, AVE EL DORADO 75-25, BOGOTA, 00000, COLOMBIA</t>
  </si>
  <si>
    <t>2145-549X</t>
  </si>
  <si>
    <t>2422-4200</t>
  </si>
  <si>
    <t>LOGOS CIENC TECNOL</t>
  </si>
  <si>
    <t>Logos Cienc. Tecnol.</t>
  </si>
  <si>
    <t>10.22335/rlct.v14i3.1650</t>
  </si>
  <si>
    <t>5I6WX</t>
  </si>
  <si>
    <t>WOS:000868495500002</t>
  </si>
  <si>
    <t>Useche, LSV; Useche, CV</t>
  </si>
  <si>
    <t>Vega Useche, Leonel Santiago; Vega Useche, Camilo</t>
  </si>
  <si>
    <t>How long should the pre-operative fasting time be in patients with enteral tube nutrition?</t>
  </si>
  <si>
    <t>ANAESTHESIA PAIN &amp; INTENSIVE CARE</t>
  </si>
  <si>
    <t>Letter</t>
  </si>
  <si>
    <t>Adult; Elective Surgical Procedures; Enteral nutrition; Fasting; Humans; Intensive Care Units; Nutritional Status; Practice Guidelines as Topic; Preoperative Care; methods; Preoperative Period; Critical Illness; therapy; Patient Safety; Risk Management</t>
  </si>
  <si>
    <t>The authors have touched a very important aspect of anesthesia and surgical practice, regarding the period of preoperative fasting for patients who are on enteral feeding. The authors recommend a fasting time between 45 min and 4 h (if the airway is to be manipulated during the procedure), is adequate to perform surgical procedures in patients with enteral tube nutrition. In other patients gastric suctioning before the procedure might be adequate.</t>
  </si>
  <si>
    <t>[Vega Useche, Leonel Santiago; Vega Useche, Camilo] Univ Pedag &amp; Tecnol Colombia, Clin Reina Sofia, Boyaca, Colombia</t>
  </si>
  <si>
    <t>Useche, LSV (corresponding author), Univ Pedag &amp; Tecnol Colombia, Clin Reina Sofia, Boyaca, Colombia.</t>
  </si>
  <si>
    <t>leonelvegau@gmail.com; acamilovega@gmail.com</t>
  </si>
  <si>
    <t>Amer Soc Anesthesiologists, 2017, ANESTHESIOLOGY, V126, P376, DOI 10.1097/ALN.0000000000001452; Gonik N, 2016, OTOLARYNG HEAD NECK, V154, P87, DOI 10.1177/0194599815611859; Jenkins B, 2019, CLIN NUTR, V38, P252, DOI 10.1016/j.clnu.2018.01.024; Jing JY, 2013, CLIN NUTR, V32, P8, DOI [10.1016/j.clnu.2012.07.002, 10.1016/j.clnu.2012.7.002]; Segaran Ella, 2016, J Intensive Care Soc, V17, P38, DOI 10.1177/1751143715599410</t>
  </si>
  <si>
    <t>ISLAMABAD</t>
  </si>
  <si>
    <t>C/O TARIQ HAYAT KHAN, ED, 60-A, NAZIM-UD-DIN RD, ISLAMABAD, 00000, PAKISTAN</t>
  </si>
  <si>
    <t>1607-8322</t>
  </si>
  <si>
    <t>2220-5799</t>
  </si>
  <si>
    <t>ANAESTH PAIN INTENSI</t>
  </si>
  <si>
    <t>Anaesth. Pain Intensive Care</t>
  </si>
  <si>
    <t>10.35975/apic.v26i4.1970</t>
  </si>
  <si>
    <t>Anesthesiology</t>
  </si>
  <si>
    <t>4X7XA</t>
  </si>
  <si>
    <t>WOS:000861049300025</t>
  </si>
  <si>
    <t>Torres, MM; Mayorga, FN</t>
  </si>
  <si>
    <t>Macias Torres, M.; Naranjo Mayorga, F.</t>
  </si>
  <si>
    <t>Characterization of resilience in Aedes aegypti mosquito networks</t>
  </si>
  <si>
    <t>PHYSICA A-STATISTICAL MECHANICS AND ITS APPLICATIONS</t>
  </si>
  <si>
    <t>Resilience; Ecological network; Migration probability; Aedes aegypti; Critical parameters; Dynamic modeling</t>
  </si>
  <si>
    <t>In this work, the resilience study of the Aedes aegypti mosquito network built in urban areas of Colombia is presented. We define the network based on the Skeeter-Buster model, where each node is represented by a mosquito habitat in each zone. The state that defines the population of each node depends on the gonotrophic cycle of the species and the environmental conditions. Interactions between nodes are defined by the probability that mosquitoes migrate from one node to another (P (d(ij))). The topology of the network is evaluated and the dynamic equation of the system is defined, through which the universal resilience function is obtained in the A. aegypti mosquito network. We found that the more heterogeneous networks are more likely to be resilient, so a strategy could be sought to manipulate this property in A. aegypti networks. The phase transitions have been located for each constructed network and the fixed points in the phase space were characterized. One of the most important contributions is the migration probability of the vector P (d(ij)), which offers a good approximation to the migratory behavior of the vector as a function of the mean flight distance and the distance between habitats. Finally, it is observed in the dynamics of the network that the population growth presents different values of effective mean degree (beta(eff)), with values between 1.6 and 5.57, highlighting the case of Villavicencio with a value of 1.6309. (C) 2022 Elsevier B.V. All rights reserved.</t>
  </si>
  <si>
    <t>[Macias Torres, M.; Naranjo Mayorga, F.] Univ Pedag &amp; Tecnol Colombia, Grp Fis Teor &amp; Computac, Tunja, Colombia</t>
  </si>
  <si>
    <t>Torres, MM (corresponding author), Univ Pedag &amp; Tecnol Colombia, Grp Fis Teor &amp; Computac, Tunja, Colombia.</t>
  </si>
  <si>
    <t>maikol.macias@uptc.edu.co</t>
  </si>
  <si>
    <t>Almanza-Vasquez E., 2013, REV COSTARRICENSE SA; Barab?si A., 2016, NETW SCI; Barzel B, 2013, NAT PHYS, V9, P673, DOI [10.1038/NPHYS2741, 10.1038/nphys2741]; Courchamp F, 2008, ALLEE EFFECTS IN ECOLOGY AND CONSERVATION, P1; Fath BD, 2007, ECOL MODEL, V208, P49, DOI 10.1016/j.ecolmodel.2007.04.029; FOCKS DA, 1993, J MED ENTOMOL, V30, P1003, DOI 10.1093/jmedent/30.6.1003; Fortich O.H, 1990, ECOLOGIA AEDES AEGYP; Gao JX, 2016, NATURE, V530, P307, DOI 10.1038/nature16948; Jaimes-Duenez Jeiczon, 2015, PLoS Neglected Tropical Diseases, V9, pe0003553, DOI 10.1371/journal.pntd.0003553; Kopos F, 2007, BIOL NETWORKS; Kraemer MUG, 2015, ELIFE, V4, DOI 10.7554/eLife.08347; Legros M, 2011, PLOS ONE, V6, DOI 10.1371/journal.pone.0022701; Magori K, 2009, PLOS NEGLECT TROP D, V3, DOI 10.1371/journal.pntd.0000508; Medeiros A.S., 2009, J MED ENTOMOL; Newman M. E. J., 2010, NETWORKS INTRO; Strogatz SH., 2000, NONLINEAR DYNAMICS C; Velez S., 2006, REV EIA; Xu CG, 2010, PLOS NEGLECT TROP D, V4, DOI 10.1371/journal.pntd.0000830</t>
  </si>
  <si>
    <t>0378-4371</t>
  </si>
  <si>
    <t>1873-2119</t>
  </si>
  <si>
    <t>PHYSICA A</t>
  </si>
  <si>
    <t>Physica A</t>
  </si>
  <si>
    <t>JUN 15</t>
  </si>
  <si>
    <t>10.1016/j.physa.2022.127114</t>
  </si>
  <si>
    <t>1V5WT</t>
  </si>
  <si>
    <t>WOS:000806160300016</t>
  </si>
  <si>
    <t>Garcia-Ariza, JV; Suarez-Baron, MJ; Junco-Orduz, EA; Gonzalez-Sanabria, JS</t>
  </si>
  <si>
    <t>Garcia-Ariza, Juana-Valentina; Suarez-Baron, Marco-Javier; Junco-Orduz, Edmundo-Arturo; Gonzalez-Sanabria, Juan-Sebastian</t>
  </si>
  <si>
    <t>Application of Unsupervised Learning in the Early Detection of Late Blight in Potato Crops Using Image Processing</t>
  </si>
  <si>
    <t>machine learning; unsupervised learning; K-Means; hierarchical clustering; late blight</t>
  </si>
  <si>
    <t>Introduction. Automatic detection can be useful in the search of large crop fields by simply detecting the disease with the symptoms appearing on the leaf.Objective: This paper presents the application of machine learning techniques aimed at detecting late blight disease using unsupervised learning methods such as K-Means and hierarchical clustering. Method: The methodology used is composed by the following phases: acquisition of the dataset, image processing, feature extraction, feature selection, implementation of the learning model, performance measurement of the algorithm, finally a 68.24% hit rate was obtained being this the best result of the unsupervised learning algorithms implemented, using 3 clusters for clustering.Results: According to the results obtained, the performance of the K-Means algorithm can be evaluated, i.e. 202 hits and 116 misses. Conclusions: Unsupervised learning algorithms are very efficient when processing a large amount of data, in this case a large amount of images without the need for predefined labels, its use to solve local problems such as late blight affectations in potato crops are novel.</t>
  </si>
  <si>
    <t>[Garcia-Ariza, Juana-Valentina; Suarez-Baron, Marco-Javier; Junco-Orduz, Edmundo-Arturo; Gonzalez-Sanabria, Juan-Sebastian] Univ Pedag &amp; Tecnol Colombia, Sogamoso, Colombia</t>
  </si>
  <si>
    <t>Garcia-Ariza, JV (corresponding author), Univ Pedag &amp; Tecnol Colombia, Sogamoso, Colombia.</t>
  </si>
  <si>
    <t>juana.garcia01@uptc.edu.co; marco.suarez@uptc.edu.co; edmundo.junco@uptc.edu.co; juansebastian.gonzalez@uptc.edu.co</t>
  </si>
  <si>
    <t>Andr C., 2021, DESARROLLO HERRAMIEN; Caicedo D. R., 2009, REVFACNALAGRMEDELLIN, V63, P5521; Hasan RI, 2020, PLANTS-BASEL, V9, DOI 10.3390/plants9101302; Johnson J, 2021, PLANT PHENOMICS, V2021, DOI 10.34133/2021/9835724; Khan ZU, 2018, INT BHURBAN C APPL S, P339; Li LL, 2021, IEEE ACCESS, V9, P56683, DOI 10.1109/ACCESS.2021.3069646; Mahlein AK, 2012, EUR J PLANT PATHOL, V133, P197, DOI 10.1007/s10658-011-9878-z; Maity S., 2018, P 2018 2 INT C TREND, P1538, DOI [10.1109/ICOEI.2018.8553913, DOI 10.1109/ICOEI.2018.8553913]; Malysiak-Mrozek B, 2009, ADV INTEL SOFT COMPU, V59, P247; MINISTERIO DE AGRICULTURA Y DESARROLLO RURAL COLOMBIA, 2019, ESTR ORD PROD CAD PR; Pardede HF, 2018, 2018 INTERNATIONAL CONFERENCE ON COMPUTER, CONTROL, INFORMATICS AND ITS APPLICATIONS (IC3INA), P158, DOI 10.1109/IC3INA.2018.8629518; Sharma P., 2018, 2018 9 INT C COMP CO, P1, DOI [10.1109/ICCCNT.2018.8494024, DOI 10.1109/ICCCNT.2018.8494024]</t>
  </si>
  <si>
    <t>10.17981/ingecuc.18.2.2022.07</t>
  </si>
  <si>
    <t>WOS:000917298600010</t>
  </si>
  <si>
    <t>Benavides-Guerrero, CE; Caro-Caro, LE; Marino-Martinez, JE</t>
  </si>
  <si>
    <t>Esteban Benavides-Guerrero, Carlos; Elizabeth Caro-Caro, Linda; Eliecer Marino-Martinez, Jorge</t>
  </si>
  <si>
    <t>Towards the elaboration of a hydrogeological model of the Guachiria river basin (Colombia)</t>
  </si>
  <si>
    <t>Hydrogeology; Hydrology; Potential recharge; Hydrogeochemistry; Eastern plains; Orinoquia</t>
  </si>
  <si>
    <t>In recent years, extreme climatic variations have generated obvious effects on natural resources, harming one of the most important: water. A clear example of this is the Guachiria River Basin, located in Colombia, the prolonged dry seasons of the last decade have harmed both the biota and the civilian population, since they depend mainly on this resource. The present study aims to increase the state of the art on hydrometeorological, hydraulic variables and, in general, to understand the hydrogeological conditions of the Guachiria River Basin, this with the purpose of providing information that serves as baseline for the elaboration of a conceptual hydrogeological model (CHM) that helps in decision-making by the entities in charge of water resource management. First, the morphometric and geological conditions of the area were determined, finding that there is a predominance of flat areas with little slope, made up of unconsolidated deposits, extensive flood zones and wind influence on fluvial deposits. Then, starting from a mass balance, a water balance was carried out in the basin to quantify the resource in the area; In turn, favorable recharge zones were identified in several sectors: one part towards the foothills in the area of high slopes and another towards the deposits with eolian influence, made up of sandy and sandy loam soils that overlie the Guayabo Formation. In addition, through pumping tests, different hydraulic parameters were determined, and the aquifers were classified as free, confined, and semi-confined, linked to the lithology of the area, due to their extension and lithological complexity. Finally, a hydrogeochemical sampling was carried out, where mostly relatively young waters, with little transport and high iron content were found.</t>
  </si>
  <si>
    <t>[Esteban Benavides-Guerrero, Carlos; Elizabeth Caro-Caro, Linda; Eliecer Marino-Martinez, Jorge] Univ Pedag &amp; Tecnol Colombia, Escuela Ingn Geol, Sogamoso, Colombia</t>
  </si>
  <si>
    <t>Caro-Caro, LE (corresponding author), Univ Pedag &amp; Tecnol Colombia, Escuela Ingn Geol, Sogamoso, Colombia.</t>
  </si>
  <si>
    <t>carlos.benavides01@uptc.edu.co; linda.caro@uptc.edu.co; jorge.marino@uptc.edu.co</t>
  </si>
  <si>
    <t>Benavides Guerrero Carlos Esteban, 2021, Cienc. Ing. Neogranad., V31, P109, DOI 10.18359/rcin.4680; Budyko M.I., 1974, CLIMATE LIFE; CORPOURABA &amp; Universidad de Antioquia, 2016, PLAN MAN AMB AC SIST; Custodio E., 1976, HIDROLOGIA SUBTERRAN; EIA, 2005, EST IMP AMB BLOQ GUA; Galvis N., 1984, INFORME PROGRESO, VN1; Guzman M., 2015, REV SEMANA, P34; Hargreaves G. H., 1985, Applied Engineering in Agriculture, V1, P96; IDEAM, 2010, LEYEND NAC COB TIERR; IGAC-Instituto Geografico Agustin Codazzi, 2012, GEOGR MAP IND SAF; Instituto de Hidrologia, 2015, EST NAC AG; Ministerio de Educaci?n Nacional, 2016, OR GEN IMPL CAT PAZ; Musy A., 2001, COURS HYDROLOGIE GEN; Paz de Ariporo, 2011, REV AJ PLAN BAS ORD; Poveda-Jaramillo G., 2020, HIDROLOGIA COLOMBIA; SARMIENTO G, 1971, ACTA CIENT VENEZ, V22, P52; Schosinsky G, 2000, REV GEOL AM CENT, DOI [10.15517/rgac.v0i23.8579, DOI 10.15517/rgac.v0i23.8579]; SGC, 2012, MEM GEOL PLANCH 196; SGC, 2018, MOD HIDR CONC MUN YO</t>
  </si>
  <si>
    <t>10.18273/revbol.v44n2-2022008</t>
  </si>
  <si>
    <t>WOS:000826221200009</t>
  </si>
  <si>
    <t>Pedraza, ML; Espinosa-Ramirez, AJ</t>
  </si>
  <si>
    <t>Luz Pedraza, Mary; Janneth Espinosa-Ramirez, Adriana</t>
  </si>
  <si>
    <t>The legacy of arsenic and mercury in the Ramsar Ayapel wetland complex (Cordoba, Colombia): An approach to the Magdalena- Cauca macro-basin</t>
  </si>
  <si>
    <t>Bioaccumulation; ecotoxicology; environmental health; ichthyofauna; mining</t>
  </si>
  <si>
    <t>ENDOCRINE-DISRUPTING CHEMICALS; MOJANA REGION; FISH; EXPOSURE; METALS; STATE; RICE</t>
  </si>
  <si>
    <t>Located in the northern extreme of South America, Colombia is one of the most mercury contaminated countries in the world, a situation that threatens its natural wealth and highly endemic neotropical biodiversity and adds to its multiple environmental and social conflicts. Internationally designated as a Ramsar site, the Ayapel wetland complex registers the catching of 23 % of the fish production of the Magdalena-Cauca macro-basin, while at the same time is under intense alluvial mining pressure. Exposure to two endocrine disruptors [mercury (Hg) and arsenic (As)] was traced in fish for human consumption, water and sediments collected in the central marshes of Ayapel, Escobillas and Paticos. Previously unreported concentrations of arsenic were found in sediments and water. This is quite a relevant finding, since it is a carcinogen and because local rice crops are supplied by the water of the marsh system, which may increase toxicological risk for the people of the region. In addition, 96 % of the fish registered statistically significant contents of both Hg and As. The fish blanquillo (Sorubim cuspicaudus) was found to contain the highest levels of both pollutants, while the bocachico (Prochilodus magdalenae) registered the highest level of Hg in the last 15 years for the studied area. Framed in mercury variation in the macro-basin's ichthyofauna (1993-2020), a warning is issued about unmonitored impacts on food webs and the urgency of intersectoral actions to protect biodiversity and human health.</t>
  </si>
  <si>
    <t>[Luz Pedraza, Mary] Univ Pedag &amp; Tecnol Colombia, Grp Invest Unidad Ecol Sistemas Acuat UDESA, Ciencias Biol, Escuela Biol,Fac Ciencias, Tunja, Colombia; [Janneth Espinosa-Ramirez, Adriana] Univ Pedag &amp; Tecnol Colombia, Grp Invest Unidad Ecol Sistemas Acuat UDESA, Fac Ciencias, Escuela Biol, Tunja, Colombia</t>
  </si>
  <si>
    <t>Espinosa-Ramirez, AJ (corresponding author), Univ Pedag &amp; Tecnol Colombia, Grp Invest Unidad Ecol Sistemas Acuat UDESA, Fac Ciencias, Escuela Biol, Tunja, Colombia.</t>
  </si>
  <si>
    <t>adriana.espinosa@uptc.edu.co</t>
  </si>
  <si>
    <t>Alonso DL, 2020, J ENVIRON MANAGE, V264, DOI 10.1016/j.jenvman.2020.110478; Alonso DL, 2014, ENVIRON POLLUT, V186, P272, DOI 10.1016/j.envpol.2013.12.009; Alvarez J., 2010, COLOMBIA DIVERSIDAD, P619; Lopez-Barrera EA, 2016, J TOXICOL ENV HEAL A, V79, P232, DOI 10.1080/15287394.2016.1149130; ATSDR (Agency for Toxic Substances and Disease Registry), 2008, AGENCY TOXIC SUBSTAN; Autoridad Nacional de Acuicultura y Pesca (AUNAP) y Universidad del Magdalena-UniMagdalena, 2013, TALL MIN CAPT APR SO; Batista BL, 2011, J HAZARD MATER, V191, P342, DOI 10.1016/j.jhazmat.2011.04.087; Bergman A, 2012, TOXICOL LETT, V211, pS3, DOI 10.1016/j.toxlet.2012.03.020; Bundschuh J, 2012, SCI TOTAL ENVIRON, V429, P2, DOI 10.1016/j.scitotenv.2011.06.024; Carranza-Lopez L, 2019, ARCH ENVIRON CON TOX, V76, P640, DOI 10.1007/s00244-019-00609-w; Corporacion Autonoma Regional de los Valles del Sinu y San Jorge Grupo de Investigacion en Gestion y Modelacion Ambiental y Universidad de Antioquia., 2007, PLAN MANEJO AMBIENTA; Crump KL, 2009, ENVIRON TOXICOL CHEM, V28, P895, DOI 10.1897/08-151.1; da Silva E. M., 2010, Integrated Environmental Assessment and Management, V6, P313, DOI 10.1002/ieam.45; Dalström Stig, 2020, Lankesteriana, V20, P241, DOI 10.15517/lank.v20i2.43454; Gutierrez BFD, 2020, ENVIRON SCI POLLUT R, V27, P27541, DOI 10.1007/s11356-020-09159-4; Ricaurte LF, 2019, WETLANDS, V39, P971, DOI 10.1007/s13157-019-01149-8; Gracia H Lisy, 2010, Rev. Fac. Nac. Salud Pública, V28, P118; INS, 2015, EV RIESG MERC PEC AG; Instituto de Hidrologia Meteorologia y Estudios Ambientales, 2019, EST NAC AG; Instituto de Hidrologia Meteorologia y Estudios Ambientales, 2015, EST NAC AG 2014; Instituto de Hidrologia Meteorologia y Estudios Ambientales y Corporacion Autonoma Regional del Rio Grande de la Magdalena-Cormagdalena., 2001, EST AMB CUENC MAGD C; Keith S., 2013, TOXICOLOGICAL PROFIL; Khan KM, 2020, SCI TOTAL ENVIRON, V710, DOI 10.1016/j.scitotenv.2019.136071; Lazaro WL, 2019, SCI TOTAL ENVIRON, V668, P723, DOI 10.1016/j.scitotenv.2019.02.233; Marrugo-Negrete JL, 2018, ARCH ENVIRON CON TOX, V74, P121, DOI 10.1007/s00244-017-0459-9; MANCERA-RODRÍGUEZ NÉSTOR JAVIER, 2006, Acta biol.Colomb., V11, P3; Marrugo-Negrete J, 2008, ENVIRON GEOCHEM HLTH, V30, P21, DOI 10.1007/s10653-007-9104-2; Marrugo-Negrete J, 2010, INT J ENVIRON HEAL R, V20, P451, DOI 10.1080/09603123.2010.499451; Mestrot A, 2013, ENVIRON SCI-PROC IMP, V15, P1639, DOI 10.1039/c3em00105a; Ministerio de Minas y Energia Agencia Nacional de Mineria (ANM) Unidad de Planeacion Minero Energetica (UPME) Servicio Geologico Colombiano (SGC) y Gobernacion de Antioquia, 2016, PLAN ESTR SECT EL US; Obrist D, 2018, AMBIO, V47, P116, DOI 10.1007/s13280-017-1004-9; Ortega H., 2016, ESTADO CONSERVACION, P23; Pachauri R.K., 2014, CAMB CLIM 2014 INF S; Pinzon-Bedoya CH, 2020, INT J ENV RES PUB HE, V17, DOI 10.3390/ijerph17082921; Programa de Pesca y Acuicultura (PPA), 2015, POL INT DES PESC SOS; Puerta Y., 2016, GESTION AMBIENTE, V19, P110; Rangel Montoya Edelweiss Airam, 2015, Terra Latinoam, V33, P103; Rintala EM, 2014, FOOD CHEM, V150, P199, DOI 10.1016/j.foodchem.2013.10.155; Rúa Cardona Alex Fernando, 2013, Rev.fac.ing.univ. Antioquia, P244; Servicio Geologico Colombiano (SGC), 2016, ATL GEO COL; Sun HJ, 2016, ENVIRON INT, V95, P61, DOI 10.1016/j.envint.2016.07.020; Taylor V, 2017, SCI TOTAL ENVIRON, V580, P266, DOI 10.1016/j.scitotenv.2016.12.113; Teixeira MC, 2020, SCI TOTAL ENVIRON, V730, DOI 10.1016/j.scitotenv.2020.138217; UN Environment (UNEP), 2019, GLOBAL MERCURY ASSES; USEPA, 2000, GUID ASS CHEM CONT D, V2; Lepori ECV, 2015, ACTA BIOQUIM CLIN L, V49, P83; Vos JG, 2000, CRIT REV TOXICOL, V30, P71, DOI 10.1080/10408440091159176; World Health Organization WHO and International Agency for Research on Cancer, 2004, IARC MON EV CARC RIS, V84, P526; Zapata L., 2013, GUIA ESPECIES MIGRAT, V2; Zhu X, 2000, Environ Health Prev Med, V4, P174, DOI 10.1007/BF02931255</t>
  </si>
  <si>
    <t>10.15446/abc.v27n2.89084</t>
  </si>
  <si>
    <t>WOS:000841922300002</t>
  </si>
  <si>
    <t>De la Cruz, R; Juajibioy, J</t>
  </si>
  <si>
    <t>De la Cruz, Richard; Juajibioy, Juan</t>
  </si>
  <si>
    <t>Delta Shock Solution for a Generalized Zero-Pressure Gas Dynamics System with Linear Damping</t>
  </si>
  <si>
    <t>ACTA APPLICANDAE MATHEMATICAE</t>
  </si>
  <si>
    <t>Nonstrictly hyperbolic system; Generalized zero-pressure gas dynamics system; Linear damping; Time-dependent viscous system; Delta shock wave solution</t>
  </si>
  <si>
    <t>HYPERBOLIC SYSTEMS; VANISHING VISCOSITY; CONSERVATION-LAWS; WEAK SOLUTIONS; WAVES; EQUATIONS; LIMITS</t>
  </si>
  <si>
    <t>In this paper, we propose a time-dependent viscous system and by using the vanishing viscosity method we show the existence of delta shock solutions for a generalized zero-pressure gas dynamics system with linear damping.</t>
  </si>
  <si>
    <t>[De la Cruz, Richard; Juajibioy, Juan] Univ Pedag &amp; Tecnol Colombia, Sch Math &amp; Stat, Av Cent Norte 39-115 Of M-101, Tunja 150003, Boy, Colombia</t>
  </si>
  <si>
    <t>De la Cruz, R (corresponding author), Univ Pedag &amp; Tecnol Colombia, Sch Math &amp; Stat, Av Cent Norte 39-115 Of M-101, Tunja 150003, Boy, Colombia.</t>
  </si>
  <si>
    <t>richard.delacruz@uptc.edu.co; juan.juajibioy@uptc.edu.co</t>
  </si>
  <si>
    <t>De la cruz Guerrero, Richard Alexander/G-4674-2014</t>
  </si>
  <si>
    <t>De la cruz Guerrero, Richard Alexander/0000-0003-1342-7946</t>
  </si>
  <si>
    <t>Abreu E, 2021, J MATH ANAL APPL, V502, DOI 10.1016/j.jmaa.2021.125267; Barenblatt GI, 1996, SCALING SELF SIMILAR, DOI [10.1017/CBO9781107050242, DOI 10.1017/CBO9781107050242]; Bouchut F., 1994, SER ADV MATH APPL SC, P171; Brenier Y, 1998, SIAM J NUMER ANAL, V35, P2317, DOI 10.1137/S0036142997317353; CRIGHTON DG, 1979, ANNU REV FLUID MECH, V11, P11, DOI 10.1146/annurev.fl.11.010179.000303; DAFERMOS CM, 1973, ARCH RATION MECH AN, V52, P1, DOI 10.1007/BF00249087; de la Cruz R, 2020, ACTA APPL MATH, V170, P631, DOI 10.1007/s10440-020-00350-w; De la cruz R, 2019, ZAMM-Z ANGEW MATH ME, V99, DOI 10.1002/zamm.201700251; DOYLE J, 1990, IMA J APPL MATH, V44, P145, DOI 10.1093/imamat/44.2.145; Ercole G, 2000, Q APPL MATH, V58, P177, DOI 10.1090/qam/1739044; Henriksen R.N., 2015, SCALE INVARIANCE SEL, DOI [10.1002/9783527687343, DOI 10.1002/9783527687343]; Huang FM, 2005, COMMUN PART DIFF EQ, V30, P283, DOI 10.1081/PDE-200050026; Huang FM, 2001, COMMUN MATH PHYS, V222, P117, DOI 10.1007/s002200100506; Keita S, 2019, J MATH ANAL APPL, V472, P1001, DOI 10.1016/j.jmaa.2018.11.061; Leveque RJ, 2004, J HYPERBOL DIFFER EQ, V1, P315, DOI 10.1142/S0219891604000135; Li JQ, 2001, Q APPL MATH, V59, P315, DOI 10.1090/qam/1827367; Lou YQ, 2006, MON NOT R ASTRON SOC, V372, P885, DOI 10.1111/j.1365-2966.2006.10908.x; MAJDA AJ, 1994, PHYSICA D, V74, P268, DOI 10.1016/0167-2789(94)90198-8; Polyanin A.D., 2003, HDB NONLINEAR PARTIA, DOI [10.1201/9780203489659, DOI 10.1201/9780203489659]; Sachdev P.L, 2000, SELF SIMILARITY EXAC, DOI [10.1201/9781420035711, DOI 10.1201/9781420035711]; Sarrico COR, 2014, INT J MATH, V25, DOI 10.1142/S0129167X14500074; SHANDARIN SF, 1989, REV MOD PHYS, V61, P185, DOI 10.1103/RevModPhys.61.185; Shen C, 2016, IMA J APPL MATH, V81, P76, DOI 10.1093/imamat/hxv028; Sheng WC, 1999, MEM AM MATH SOC, V137, P1; SUTO Y, 1988, ASTROPHYS J, V326, P527, DOI 10.1086/166114; TAN DC, 1994, J DIFFER EQUATIONS, V112, P1, DOI 10.1006/jdeq.1994.1093; TUPCIEV VA, 1973, SOV MATH DOKL, V14, P978; Wang JH, 2003, J MATH ANAL APPL, V284, P213, DOI 10.1016/S0022-247X(03)00336-6; Weinan E, 1996, COMMUN MATH PHYS, V177, P349, DOI 10.1007/BF02101897; Yang HC, 2012, J DIFFER EQUATIONS, V252, P5951, DOI 10.1016/j.jde.2012.02.015; Yang HC, 1999, J DIFFER EQUATIONS, V159, P447, DOI 10.1006/jdeq.1999.3629</t>
  </si>
  <si>
    <t>0167-8019</t>
  </si>
  <si>
    <t>1572-9036</t>
  </si>
  <si>
    <t>ACTA APPL MATH</t>
  </si>
  <si>
    <t>Acta Appl. Math.</t>
  </si>
  <si>
    <t>10.1007/s10440-021-00463-w</t>
  </si>
  <si>
    <t>Mathematics, Applied</t>
  </si>
  <si>
    <t>XV2HV</t>
  </si>
  <si>
    <t>WOS:000734770500001</t>
  </si>
  <si>
    <t>Diaz, RO; Sandoval, CHH</t>
  </si>
  <si>
    <t>Diaz, R. Ochoa; Sandoval, C. H. Higuera</t>
  </si>
  <si>
    <t>Effect of the grain size of recycled rubber on the behaviour of an asphalt mix</t>
  </si>
  <si>
    <t>Recycled rubber grain; plastic deformation; fatigue; resilient modulus; adherence</t>
  </si>
  <si>
    <t>FATIGUE PERFORMANCE; CONCRETE; MIXTURE</t>
  </si>
  <si>
    <t>The elimination of a large quantity of waste such as plastic, bottles, tyres, etc., that are generated in large quantities and produce an environmental impact and risk in the areas where they are produced and stored. The current study aims to use recycled rubber grain (GCR), originating from discarded tyres, in the manufacture of asphalt concrete. Seven mixtures were designed using the Marshall methodology, one mixture without the addition of the rubber grain, which will be the control mixture for comparison, and six mixtures with the addition of 1% of rubber grain of varying sizes, which oscillate between that passing through a sieve of 2.36 mm (No. 8) and that retained on a sieve of 0.075 mm (No. 200). Once the respective working formulas had been determined, performance tests were carried out such as: susceptibility to humidity damage, plastic deformation resistance, resilient modulus, fatigue resistance and skid resistance or each of the mixtures. The results show that the incorporation of rubber grain in some cases produces a slight decrease in the optimum content of asphalt cement, increase in Marshall stability, an improvement in plastic deformation, an increase in resistance, a longer fatigue life in comparison with a conventional mixture. The results of the laboratory tests indicate that in using recycled rubber grain, it is possible to obtain asphalt concretes with improved required technical characteristics whilst constructing a surface which is environmentally friendly</t>
  </si>
  <si>
    <t>[Diaz, R. Ochoa; Sandoval, C. H. Higuera] Univ Pedag &amp; Tecnol Colombia, Tunja, Colombia</t>
  </si>
  <si>
    <t>Diaz, RO (corresponding author), Univ Pedag &amp; Tecnol Colombia, Tunja, Colombia.</t>
  </si>
  <si>
    <t>ricardo.ochoa@uptc.edu.co</t>
  </si>
  <si>
    <t>HIGUERA SANDOVAL, CARLOS HERNANDO/Q-6837-2018</t>
  </si>
  <si>
    <t>HIGUERA SANDOVAL, CARLOS HERNANDO/0000-0003-1333-2517</t>
  </si>
  <si>
    <t>Alamo-Nole LA, 2011, J HAZARD MATER, V185, P107, DOI 10.1016/j.jhazmat.2010.09.003; Bahia H. U.., 2009, MS 2 7 EDITION ASPHA; Bansal S., 2017, INT J SUSTAIN BUILT, V6, P442, DOI [10.1016/j.ijsbe.2017.07.009, DOI 10.1016/J.IJSBE.2017.07.009]; Chiu CT, 2008, RESOUR CONSERV RECY, V52, P545, DOI 10.1016/j.resconrec.2007.07.001; Colom X, 2007, COMPOS PART A-APPL S, V38, P44, DOI 10.1016/j.compositesa.2006.01.022; Correa Lesmes C. A., 2018, IMPLEMENTACION MEZCL; Diaz C., 2017, IMPLEMENTACION GRANO; DNP G. de C., 2018, BASES PLAN NACL DESA; Eskandarsefat S, 2018, CONSTR BUILD MATER, V176, P283, DOI 10.1016/j.conbuildmat.2018.05.031; Horvath, 2010, TRANSPORT RES B-METH, V37, P1; Instituto Nacional de Vias INVIAS, 2013, ESP GEN CONSTR CARR; Instituto Nacional de Vias INVIAS, 2013, NORM ENS MAT CARR; INVIAS, 2013, ART 450 13 MEZCL ASF; Li N, 2013, CONSTR BUILD MATER, V45, P45, DOI 10.1016/j.conbuildmat.2013.04.007; Pacheco-Torgal F, 2012, CONSTR BUILD MATER, V30, P714, DOI 10.1016/j.conbuildmat.2011.11.047; Pasandin AR, 2017, CONSTR BUILD MATER, V157, P26, DOI 10.1016/j.conbuildmat.2017.09.090; Pettinari M, 2015, MATER DESIGN, V85, P598, DOI 10.1016/j.matdes.2015.06.139; Sostenible M., 2015, MANEJO DESECHOS COLO; Unsiwilai S, 2018, ENG J-THAIL, V22, P181, DOI 10.4186/ej.2018.22.3.181</t>
  </si>
  <si>
    <t>10.7764/RIC.00059.21</t>
  </si>
  <si>
    <t>WOS:000969177200001</t>
  </si>
  <si>
    <t>Rubio, JJM; Malaver, EFA; Lara, JAM</t>
  </si>
  <si>
    <t>Moreno Rubio, Jorge Julian; Angarita Malaver, Edison Ferney; Mesa Lara, Jairo Alonso</t>
  </si>
  <si>
    <t>Ultra-Wideband Power Amplifier Design Strategy for 5G Sub-6-GHz Applications</t>
  </si>
  <si>
    <t>GaN-based FETs; ultrawideband power amplifiers; broadband matching networks</t>
  </si>
  <si>
    <t>This paper presents a strategy to design ultrawideband power amplifiers with a fractional bandwidth of approximately 200%. It exploits a simple output matching network, which consists of a series transmission line together with a shunt stub, to compensate the output parasitic network of the device. Following this, a multisection transformer is implemented to obtain the optimal load at the intrinsic drain plane. As design examples, several output matching networks were designed for two different size GaN HEMT devices. One of these examples was implemented and characterized, and a drain efficiency from 52% to 70% and an output power between 40 dBm and 42.5 dBm were obtained, over 67% of the 5G sub-6-GHz band (i.e., 0.1 to 4 GHz). The aforementioned results, to the best of the authors' knowledge, represent the state of the art in broadband power amplifiers.</t>
  </si>
  <si>
    <t>[Moreno Rubio, Jorge Julian; Angarita Malaver, Edison Ferney; Mesa Lara, Jairo Alonso] Univ Pedag &amp; Tecnol Colombia, Grp Invest Telecomunicac GINTEL, Sogamoso 152211, Colombia</t>
  </si>
  <si>
    <t>jorgejulian.moreno@uptc.edu.co</t>
  </si>
  <si>
    <t>Dai ZJ, 2015, IEEE T MICROW THEORY, V63, P449, DOI 10.1109/TMTT.2014.2385087; Ejaz ME, 2022, MEDITERR MICROW SYMP, P384, DOI 10.1109/MMS55062.2022.9825618; Kilinc S, 2018, MEDITERR MICROW SYMP, P179, DOI 10.1109/MMS.2018.8612071; Ma CH, 2015, ELECTRON LETT, V51, P1911, DOI 10.1049/el.2015.2502; Meng XY, 2017, IEEE T MICROW THEORY, V65, P4984, DOI 10.1109/TMTT.2017.2711021; Rubio JJM, 2022, MICROMACHINES-BASEL, V13, DOI 10.3390/mi13040497; Rubio JJM, 2020, IEEE MICROW WIREL CO, V30, P772, DOI 10.1109/LMWC.2020.3005833; Rubio JJM, 2016, IEEE MICROW WIREL CO, V26, P446, DOI 10.1109/LMWC.2016.2549263; Nia HTA, 2018, IEEE MICROW WIREL CO, V28, P251, DOI 10.1109/LMWC.2018.2794818; Quaglia R, 2017, IEEE T MICROW THEORY, V65, P838, DOI 10.1109/TMTT.2016.2627557; Sharma T, 2018, IEEE ACCESS, V6, P4709, DOI 10.1109/ACCESS.2017.2789248</t>
  </si>
  <si>
    <t>10.3390/mi13091541</t>
  </si>
  <si>
    <t>4V7HN</t>
  </si>
  <si>
    <t>WOS:000859645300001</t>
  </si>
  <si>
    <t>Useche, IV</t>
  </si>
  <si>
    <t>Vanegas Useche, Isidro</t>
  </si>
  <si>
    <t>The dagger at the throat of the oppressor. Intellectuals and political violence in Colombia today</t>
  </si>
  <si>
    <t>HISTORIA CARIBE</t>
  </si>
  <si>
    <t>Portuguese</t>
  </si>
  <si>
    <t>Colombia; intellectuals; violence; guerrillas; memory</t>
  </si>
  <si>
    <t>This article rebuilds the place that a group of Colombian intellectuals, who could be called progressives, gave to violence the meaning of a political action instrument, between 1985 and the present time. It confirms how, among that group, the apologists for violence as a creative agent of a new order decreased. However, it also presents how that attitude did not lead to an absolute rejection of violence, since it gave grounds as a guarantor of some essential changes, which that were supposedly not possible through the usual channels.</t>
  </si>
  <si>
    <t>[Vanegas Useche, Isidro] Univ Pedag &amp; Tecnol Colombia, Tunja, Colombia</t>
  </si>
  <si>
    <t>Useche, IV (corresponding author), Univ Pedag &amp; Tecnol Colombia, Tunja, Colombia.</t>
  </si>
  <si>
    <t>isidrovanegas@yahoo.fr</t>
  </si>
  <si>
    <t>Abad Faciolince Hector, 2006, OLVIDO QUE SEREMOS; Abad H, 2011, EL ESPECTADOR; Abad Hector, 2008, ESPECTADOR 0727; Anonimo, 2019, ESPECTADOR 0425; Anonimo, 1992, TIEMPO 1122; Anonimo, 2015, TIEMPO 0508; [Anonymous], 1985, MAGAZIN DOMINIC 0519; [Anonymous], 2016, HERALDO 0213; [Anonymous], 2015, SEMANA 0628; [Anonymous], 2012, DECLARACION PUBLICA; [Anonymous], 2019, ESPECTADOR 2 NOVEMBR; [Anonymous], 2015, SEMANA 0322; Arango Rodolfo, 2012, ESPECTADOR 0830; Arbelaez Jotamario, 2009, TIEMPO 0909; Archila Mauricio, 2009, HIST INCONCLUSA IZQU; Broderick Joe, 1998, LECT DOMINICALES; Caballero Antonio, 2011, SEMANA 0711; Caballero Antonio, 2012, SEMANA 0409; Camacho Alvaro, 1989, NUEVA SOC, P64; Cardona Hoyos Jose, 1985, RUPTURA CAMARILLA CO; CNMH-DPS, 2013, BASTA YA COLOMBIA ME; Collazos Oscar, 2010, TIEMPO 0520; Cubides Fernando, 1992, ANAL POLIT, P123; de Currea Victor, 2007, PODER GUERRILLAS AM; De la Calle Humberto, 2012, ESPECTADOR 0108; Duncan Gustavo, 2014, TIEMPO 0424; Editorial, 2009, ESPECTADOR 0216; Escobar Eduardo, 2019, TIEMPO 1105; Escobar Eduardo, 2017, TIEMPO 0214; Estrada Jairo, 2015, CONTRIBUCION ENTENDI; Fals Borda Orlando, 1989, FORO, P3; Fals Borda Orlando, 2008, SUBVERSION COLOMBIA; Garcia Duran Mauricio, 2001, CIEN DIAS VISTOS CIN, P11; Garcia Ricardo, 1993, FORO, P57; Garcia-Pena Daniel, 2010, ESPECTADOR 0929; Gaviria Pascual, 2012, ESPECTADOR 0912, P31; Gaviria Pascual, 2012, ESPECTADOR 0912; Giraldo Javier, 2015, CONTRIBUCION ENTENDI; Guerrero Arturo, 2019, ESPECTADOR 0705; Hernandez Luis Humberto, 2003, MARX VIVE SUJETOS PO, V2; Hoyos Andres, 2010, ESPECTADOR 0616; Hoyos Luis Eduardo, 2002, FILOSOFIA CRISIS COL, P96; Jaramillo Ana Maria, 1965, MAGAZIN DOMINIC 0303; Jimeno Myriam, 1998, ANALISIS PO LITICO, P32; Leal Buitrago Francisco, 2008, TIEMPO 0126; Lleras Restrepo Carlos, 1990, LECT DOMINICALES; Mejia Andres, 2003, ILUSTRACION LIBERAL; Melo Jorge Orlando, 2001, LECT DOMINICALES; Melo Jorge Orlando, 2018, SEMANA 0422; Melo Jorge Orlando, 2009, TIEMPO 0219; Molano Alfredo, 2011, ESPECTADOR 0501; Molano Alfredo, 2012, EL ESPECTADOR; Molano Alfredo, 2008, EL ESPECTADOR; Molano Alfredo, 2017, EL ESPECTADOR; Moncada Alonso, 1963, ASPECTO VIOLENCIA; Naranjo Gilberto, 1985, CONTROVERSIA, P37; Ospina William, 2010, EL ESPECTADOR; Ospina William, 2008, CARTA PRESIDENTE CHA; Ospina William, 2014, ESPECTADOR 1214; Ospina William, 2016, ESPECTADOR 0626; PCN (Proceso de Comunidades Negras)- Equipo Yembe y Gaidepac, 2019, ESPECTADOR 1031; Pizarro Eduardo, 1991, ANAL POLIT, P7; Pizarro Eduardo, 1991, FARC 1944 1966 AUTOD; Pizarro Eduardo, 1986, TIEMPO 0119; Prado Victor, 2011, REPUBLICAS INDEPENDI; Ramirez William, 2002, ANAL POLIT, P151; Ramirez William, 1988, ANAL POLIT, P64; Reyes Alejandro, 2019, ESPECTADOR 1213; Reyes Alejandro, 2008, TIEMPO 0505; Rojas Daniel Emilio, 2016, ESPECTADOR 0223; Rojas Daniel Emilio, 2016, ESPECTADOR 0301; Salazar Gabriel, 1990, VIOLENCIA POLITICA P; Samper Pizano Daniel, 2010, TIEMPO 0926; Sanchez Gonzalo, 1987, COLOMBIA VIOLENCIA D; Sanchez Gonzalo, 2002, ANAL POLIT, P181; Sanchez Ricardo, 1989, FORO, P8; Santos Calderon Enrique, 1986, TIEMPO 0119; Santos Enrique, 2001, PALABRAS PENDIENTES; Santos Hernando, 1994, TIEMPO 1218; SDA, 2009, EL TECN PLAN DEC DES; Spitaletta Reinaldo, 2011, ESPECTADOR 1108; Springer Natalia, 2012, TIEMPO 0924; Tokatlian Juan Gabriel, 2002, TIEMPO 0119; Torres Camilo, 1965, FRENTE UNIDO, P1; Torres Carlos Arturo, 2001, OBRAS; Torres Marcelo, 2008, DISCREPANCIAS POLO V; Uricoechea Fernando, 1989, REV U NACL, P10; Valencia Leon, 2002, TIEMPO 0222; Valencia Leon, 2010, TIEMPO 0721; Vargas Alejo, 1999, MARX VIVE; Vargas Mauricio, 2018, TIEMPO 0318; Vasquez Carrizosa Alfredo, 1987, FORO, P11</t>
  </si>
  <si>
    <t>UNIV ATLANTICO, CENTRO INVESTIGACIONES HISTORICAS EDUCACION &amp; IDENTIDAD</t>
  </si>
  <si>
    <t>CARRERA 43 NO 50-53, BARRANQUILLA, 00000, COLOMBIA</t>
  </si>
  <si>
    <t>0122-8803</t>
  </si>
  <si>
    <t>2322-6889</t>
  </si>
  <si>
    <t>HIST CARIBE</t>
  </si>
  <si>
    <t>Hist. Caribe</t>
  </si>
  <si>
    <t>10.15648/hc.40.2022.3208</t>
  </si>
  <si>
    <t>1X5RK</t>
  </si>
  <si>
    <t>WOS:000807510600010</t>
  </si>
  <si>
    <t>Funeme, C; Lopez, L</t>
  </si>
  <si>
    <t>Funeme, Cristian; Lopez, Luz</t>
  </si>
  <si>
    <t>Didactic-mathematical knowledge of some teachers about prime numbers</t>
  </si>
  <si>
    <t>ALTERIDAD-REVISTA DE EDUCACION</t>
  </si>
  <si>
    <t>Knowledge; didactics; onto-semiotic approach; educational indicator; prime number; mathematical object</t>
  </si>
  <si>
    <t>The study of the teacher's knowledge has become one of the most relevant lines of research nowadays, considering that it encompasses different factors that have a direct implication in the teaching and learning processes. Considering the above, the objective was to establish the mathematics teacher's knowledge of prime numbers through the Didactic-Mathematical Knowledge Model (CDM). For this purpose, a case study was carried out in which five teachers who work in basic secondary education in different educational institutions in Colombia were taken as the unit of analysis. For the design of instruments and the analysis of the information, the indicators of didactic-mathematical knowledge of the CDM were taken and three situations related to epistemic, cognitive, affective, interactional, mediational, and ecological elements of prime numbers were designed. From the analysis made by the teachers to the situations, concrete elements emerged that revealed the teachers' knowledge regarding prime numbers and some factors that evidence their difficulty in handling the connection of this type of numbers with other objects of mathematics. In addition, it is concluded that teachers do not manage to give students a broad vision of the meaning of these numbers by not knowing cognitive and epistemic elements that make possible their management in the classroom.</t>
  </si>
  <si>
    <t>[Funeme, Cristian; Lopez, Luz] Univ Pedag &amp; Tecnol Colombia, Tunja, Colombia</t>
  </si>
  <si>
    <t>Funeme, C (corresponding author), Univ Pedag &amp; Tecnol Colombia, Tunja, Colombia.</t>
  </si>
  <si>
    <t>cristian.funeme@uptc.edu.co; luz.lopez01@uptc.edu.co</t>
  </si>
  <si>
    <t>Funeme Mateus, Cristian Camilo/0000-0002-9158-427X</t>
  </si>
  <si>
    <t>Bagni G., 2006, EDUC STUD MATH, V62, P259, DOI [10.1007/s10649-006-8545-3, DOI 10.1007/S10649-006-8545-3]; Bagni G., 2005, MATEMATICA SUA DIDAT, V19, P73; Ball D, 2022, DELTA KAPPAN, V103, P51, DOI 10.1177%2F00317217221092236; Ball DL, 2008, J TEACH EDUC, V59, P389, DOI 10.1177/0022487108324554; Ball DL, 2000, J TEACH EDUC, V51, P241, DOI 10.1177/0022487100051003013; Bejarano G. M. A., 2016, INNOVA RES J, V1, P1, DOI [https://doi.org/10.33890/innova.v1.n2.2016.7, DOI 10.33890/INNOVA.V1.N2.2016.7]; Beltran-Pellicer P, 2020, CAMB J EDUC, V50, P1, DOI 10.1080/0305764X.2019.1623175; Bernaschini E., 2017, REV EDUCACION MATEMA, V32, P29; Breda Adriana, 2018, Bolema, V32, P255, DOI 10.1590/1980-4415v32n60a13; Burgos M, 2022, INT J SCI MATH EDUC, V20, P367, DOI 10.1007/s10763-020-10143-0; Burgos María, 2018, Educ. Pesqui., V44, pe182013, DOI 10.1590/s1678-4634201844182013; Castro W, 2021, ACTA SCIENTIAE, V23, P34, DOI [10.17648/acta.scientiae.5842, DOI 10.17648/ACTA.SCIENTIAE.5842]; D'Amore B., 2017, ENSENANZA APRENDIZAJ; DAmore B., 2019, MATEMATICA SUA STORI, V3; DAmore B., 2005, MATEMATICA SUA DIDAT, V19, P503; de Gamboa G, 2015, PNA, V10, P1; Font V., 2011, UNION, V26, P9; Giacomone B., 2019, INT J INNOVATION SCI, V27, P18, DOI [10.30722/IJISME.27.02.002, DOI 10.30722/IJISME.27.02.002]; Godino J., 2020, REV CHILENA EDUCACIO, V12, P3, DOI [10.46219/rechiem.v12i2.25, DOI 10.46219/RECHIEM.V12I2.25]; Godino J., 2021, MATEMATICA SUA DIDAT, V29, P159; Godino J. D., 2022, REV VENEZOLANA INVES, V2, P1; Godino J. D., 2008, ACTA SCI, V10, P7; GODINO J. D., 2009, UNION REV IBEROAMERI, Vn/c, P13, DOI DOI 10.1590/1980-4415V31N57A05; Godino JD, 2018, AV INVESTIG EDUC MAT, P63, DOI 10.35763/aiem.v0i13.224; Godino JD, 2007, ZDM-MATH EDUC, V39, P127, DOI 10.1007/s11858-006-0004-1; Grugnetti L., 2000, HIST MATH ED ICMI ST, P39; Hummes V. B., 2019, ACTA SCIENTIAE, V21, P64, DOI [10.17648/acta.scientiae.v21iss1id4968, DOI 10.17648/ACTA.SCIENTIAE.V21ISS1ID4968]; Kilpatrick J., 2002, ADDING IT HELPING CH, DOI [10.17226/9822, DOI 10.17226/9822]; Kiss A., 2020, TEACHING MATH COMPUT, V18, P217, DOI [10.5485/tmcs.2020.0493, DOI 10.5485/TMCS.2020.0493]; Llinares S., 2016, CUADERNOS INVESTIGAC, V11, P57; Oyarzun-Maldonado C, 2021, ALTERIDAD, V16, P105, DOI 10.17163/alt.v16n1.2021.08; Pino-Fan L., 2014, MATEMATICA EDU CATIV, P137; Radford L., 2020, REMATEC REV MATEMATI, V15, P27, DOI [10.37084/rematec.1980-3141.2020.n16.p27-42.id306, DOI 10.37084/REMATEC.1980-3141.2020.N16.P27-42.ID306]; Radford L., 2021, REV CHILENA EDUCACIO, V13, P44, DOI [10.46219/rechiem.v13i2.88, DOI 10.46219/RECHIEM.V13I2.88]; Rowland T, 2005, J MATH TEACH EDUC, V8, P255, DOI 10.1007/s10857-005-0853-5; Shulman L. S., 1986, ED RES, V15, P4, DOI DOI 10.3102/0013189X015002004; Strauss A.L., 2002, BASES INVESTIGACION; Zazkis R, 2004, J RES MATH EDUC, V35, P164, DOI 10.2307/30034911</t>
  </si>
  <si>
    <t>UNIV POLITECNICA SALESIANA ECUADOR-SALESIAN POLYTECNIC UNIV</t>
  </si>
  <si>
    <t>CUENCA</t>
  </si>
  <si>
    <t>CALLE TURUHUAYO 3-69 &amp; CALLE VIEJA, CUENCA, 00000, ECUADOR</t>
  </si>
  <si>
    <t>1390-325X</t>
  </si>
  <si>
    <t>1390-8642</t>
  </si>
  <si>
    <t>ALTERIDAD</t>
  </si>
  <si>
    <t>Alteridad</t>
  </si>
  <si>
    <t>10.17163/alt.v17n2.2022.04</t>
  </si>
  <si>
    <t>2V3DV</t>
  </si>
  <si>
    <t>WOS:000823732000005</t>
  </si>
  <si>
    <t>Meneses, TA; Casas, NMM; Puertas, JAV</t>
  </si>
  <si>
    <t>Alvarez Meneses, Tannia; Murcia Casas, Nancy Margot; Vega Puertas, Judith Alexandra</t>
  </si>
  <si>
    <t>Emerald corridor at the west of Colombia. A starting point for the development of tourism</t>
  </si>
  <si>
    <t>PERIPLO SUSTENTABLE</t>
  </si>
  <si>
    <t>Emerald corridor; geo-referencing and tourist attractions'inventory</t>
  </si>
  <si>
    <t>The article presents the result of the inventory survey of the tourist attractions of the emerald corridor formed by the municipalities of Muzo, Ouipama, Coper and Otanche of the Western Province of the Department of Boyaca in Colombia. The inventory includes the georeferencing of each of the resources and attractions, as well as the description and assessment. Information, that allows to establish the potential of the region for tourism as an alternative for local development and its projection as a safe and favorable region for the arrival of national and international visitors and tourists. The survey was carried out taking into account the methodology established by the Ministry of Industry, Commerce and Tourism in 2010, which presents the criteria for the classification and assessment of each of the resources and attractions that are identified in a geographical space. Also, based on the georeferencing obtained, maps were created which will be used in the future for the design of tourist routes and the planning of the territory in the field of tourism.</t>
  </si>
  <si>
    <t>[Alvarez Meneses, Tannia; Murcia Casas, Nancy Margot; Vega Puertas, Judith Alexandra] Univ Pedag &amp; Tecnol Colombia, Tunja, Colombia</t>
  </si>
  <si>
    <t>Meneses, TA (corresponding author), Univ Pedag &amp; Tecnol Colombia, Tunja, Colombia.</t>
  </si>
  <si>
    <t>tannia.alvarez@uptc.edu.co</t>
  </si>
  <si>
    <t>Almeida G., 2009, PROFISCIENTIA; Alvarez T, 2016, DISENO IMPLEMENTACIO; Assis L, 2003, TURISMO 2 RESIDENCIA; de Muzo Alcaldia., 2016, PLAN DESARROLLO MAS; Herrera B, 2012, REV INVESTIGACION DE, V3, P8; Hiernaux D., 2006, TRATADO GEOGRAFIA HU; Hiernaux D, 1991, TEORIA PRAXIS ESPACI; Hiernaux D, 1996, TURISMO E GEOGRAFIA; Hiernaux D., 2008, GEOUSP ESPACO E TEMP, P177; Instituto Colombiano de Geologia y Mineria, 2006, GEOL CINT ESM OCC; Instituto de Investigacion de Recursos Biologicos Alexander Von Humboldt, 2006, GEOENSENANZA, V11, P107; MINCIT (Ministerio de Comercio Industria y Turismo), 2010, MET EL INV ATR TUR; Murcia N., 2016, THESIS UPTC DUITAMA; Nino S., 2015, PERSPECT GEOGR, V20, P203; Prastacos P, 2004, COMPANION TOURISM, P596, DOI DOI 10.1002/9780470752272.CH47; Rodriguez S T., 2016, COMUNAS SALMONERAS P; Universidad Pedagogica y Tecnologica de Colombia, 2015, INF TECN PERF TUR CO</t>
  </si>
  <si>
    <t>UNIV AUTONOMA ESTADO MEXICO, FAC TURISMO GASTRONOMIA</t>
  </si>
  <si>
    <t>TOLUCA</t>
  </si>
  <si>
    <t>INSTITUTO LITERARIO NO 100, TOLUCA, 50000, MEXICO</t>
  </si>
  <si>
    <t>1870-9036</t>
  </si>
  <si>
    <t>Periplo Sustentable</t>
  </si>
  <si>
    <t>1V3HT</t>
  </si>
  <si>
    <t>WOS:000805986000001</t>
  </si>
  <si>
    <t>Romero-Cuervo, WA; Pinzon-Sandoval, EH; Luis-Ayala, MA</t>
  </si>
  <si>
    <t>Andres Romero-Cuervo, Wilmar; Hernando Pinzon-Sandoval, Elberth; Alexander Luis-Ayala, Marco</t>
  </si>
  <si>
    <t>Phenology and growth flower of Dianthus caryophyllus L. cv. 'MOON LIGHT' under greenhouse</t>
  </si>
  <si>
    <t>Phenological stages; growing degree days; growth rates; logistic model</t>
  </si>
  <si>
    <t>THERMAL TIME</t>
  </si>
  <si>
    <t>Carnation crop in Colombia is one of the main income generating activities in Colombian floriculture. However, the growth dynamics and its relationship with thermal time are unknown. For this reason, the objective of this research was to determine the growth and development of carnation (Dianthus caryophyllus L.) cv. 'Moon Light' in thermal time when grown in a greenhouse in Bogota savanna. This research was developed based on the phenological stages and accumulation of Growing Degree Days (GDD). Fresh and dry weight accumulation is fitted to a logistic model that generated a sigmoid type curve. The carnation flower cv. 'Moon light' presented a constant accumulation of dry weight from 15.3 GDD (stage 0 rice) to 777.6 GDD (cut point). The Absolute Growth Rate (AGR) increased slowly during phase I. It presents a rapid and constant gain until reaching the cut-off point with a value of 0.035 g per GDC and an accumulation of 777.6 GDC. The Relative Growth Rate (RGR) presented a continuous decrease with an initial value of 0.0049 g g(-1) per GDD in the bullet stage and a value of 0.0024 g g(-1) per GDD at the cut-off point. Through the results obtained, the floriculture sector will have a technical tool within the productive projection of the carnation variety 'Moon Light' grown in a greenhouse.</t>
  </si>
  <si>
    <t>[Andres Romero-Cuervo, Wilmar; Hernando Pinzon-Sandoval, Elberth; Alexander Luis-Ayala, Marco] Univ Pedag &amp; Tecnol Colombia, Tunja, Colombia</t>
  </si>
  <si>
    <t>Romero-Cuervo, WA (corresponding author), Univ Pedag &amp; Tecnol Colombia, Tunja, Colombia.</t>
  </si>
  <si>
    <t>romerow_91@hotmall.com; elberth.pinzon@uptc.edu.co; marco.luis@uptc.edu.co</t>
  </si>
  <si>
    <t>Arévalo Gabriel Alexander, 2007, Agron. colomb., V25, P73; Argüello Adriana Del Pilar Baracaldo, 2010, Bragantia, V69, P1; Asseng S, 2011, GLOBAL CHANGE BIOL, V17, P997, DOI 10.1111/j.1365-2486.2010.02262.x; Carranza Carlos, 2009, Agron. colomb., V27, P41; Casierra Posada Fánor, 2009, Rev. Fac. Nac. Agron. Medellín, V62, P4815; Casierra-Posada F., 2004, Agronomia Colombiana, V22, P40; Castilla Valdés Yanelis, 2014, cultrop, V35, P67; Stenzel NMC, 2006, SCI AGR, V63, P219, DOI 10.1590/S0103-90162006000300002; Hoyos García Dubián, 2012, Rev. Fac. Nac. Agron. Medellín, V65, P6389; Hunt R., 2003, ENCY APPL PLANT SCI, P579, DOI DOI 10.1016/B0-12-227050-9/00028-4; Gonzalez-Amaya LJ, 2018, REV CIENC AGRIC, V35, P58, DOI 10.22267/rcia.183501.83; Lim T. K., 2014, EDIBLE MED NONMEDICI, P684, DOI [10.1007/978-94-007-7395-0_48, DOI 10.1007/978-94-007-7395-0_48]; López M. Miguel Ángel, 2014, Agron. colomb., V32, P196, DOI 10.15446/agron.colomb.v32n2.43737; López M Miguel Ángel, 2010, Agron. colomb., V28, P47; Normand F, 2006, ACTA HORTIC, P159, DOI 10.17660/ActaHortic.2006.707.19; Onozaki T, 2018, HANDB PLANT BREED, V11, P349, DOI 10.1007/978-3-319-90698-0_15; Opara L. U., 2000, Horticultural Reviews, V24, P373, DOI 10.1002/9780470650776.ch8; Parra-Coronado A, 2016, ING INVEST, V36, P6, DOI 10.15446/ing.investig.v36n3.52336; Parra-Coronado A, 2015, ACTA BIOL COLOMB, V20, P163, DOI 10.15446/abc.v20n1.43390; Portafolio, 2020, CLAV PAIS AP DES SUS; Quintero C. María Fernanda, 2012, rev.colomb.cienc.hortic., V6, P76; Torres E., 2006, AGROMETEOROLOGIA; Trudgill DL, 2005, ANN APPL BIOL, V146, P1, DOI 10.1111/j.1744-7348.2005.04088.x</t>
  </si>
  <si>
    <t>10.22267/rcia.213802.166</t>
  </si>
  <si>
    <t>WOS:000861324500001</t>
  </si>
  <si>
    <t>Vanishing viscosity limit for Riemann solutions to a 2 x 2 hyperbolic system with linear damping</t>
  </si>
  <si>
    <t>ASYMPTOTIC ANALYSIS</t>
  </si>
  <si>
    <t>Nonstrictly hyperbolic system; linear damping; Riemann problem; time-dependent viscous system; delta shock wave solution</t>
  </si>
  <si>
    <t>DELTA-SHOCK-WAVES; MODEL-EQUATIONS; EXISTENCE; BEHAVIOR; DYNAMICS</t>
  </si>
  <si>
    <t>In this paper, we propose a time-dependent viscous system and by using the vanishing viscosity method we show the existence of solutions for the Riemann problem to a particular 2 x 2 system of conservation laws with linear damping.</t>
  </si>
  <si>
    <t>[De la Cruz, Richard; Juajibioy, Juan] Univ Pedag &amp; Tecnol Colombia, Sch Math &amp; Stat, Av Cent Norte 39-115 M-101, Tunja 150003, Boyaca, Colombia</t>
  </si>
  <si>
    <t>De la Cruz, R (corresponding author), Univ Pedag &amp; Tecnol Colombia, Sch Math &amp; Stat, Av Cent Norte 39-115 M-101, Tunja 150003, Boyaca, Colombia.</t>
  </si>
  <si>
    <t>A. I. Vol'pert, 1967, MATH USSR SB, V17, P225, DOI DOI 10.1070/SM1967V002N02ABEH002340; Barenblatt GI, 1996, SCALING SELF SIMILAR, DOI [10.1017/CBO9781107050242, DOI 10.1017/CBO9781107050242]; CRIGHTON DG, 1979, PHILOS T R SOC A, V292, P101, DOI 10.1098/rsta.1979.0046; CRIGHTON DG, 1979, ANNU REV FLUID MECH, V11, P11, DOI 10.1146/annurev.fl.11.010179.000303; DAFERMOS CM, 1973, ARCH RATION MECH AN, V52, P1, DOI 10.1007/BF00249087; de la Cruz R, 2020, ACTA APPL MATH, V170, P631, DOI 10.1007/s10440-020-00350-w; De la cruz R, 2019, ZAMM-Z ANGEW MATH ME, V99, DOI 10.1002/zamm.201700251; DOYLE J, 1990, IMA J APPL MATH, V44, P145, DOI 10.1093/imamat/44.2.145; Ercole G, 2000, Q APPL MATH, V58, P177, DOI 10.1090/qam/1739044; Henriksen R.N., 2015, SCALE INVARIANCE SEL, DOI [10.1002/9783527687343, DOI 10.1002/9783527687343]; ISAACSON EL, 1986, J DIFFER EQUATIONS, V65, P250, DOI 10.1016/0022-0396(86)90037-9; Joseph K. T., 1993, ASYMPTOTIC ANAL, V7, P105; LEFLOCH P, 1988, COMMUN PART DIFF EQ, V13, P669; Lou YQ, 2006, MON NOT R ASTRON SOC, V372, P885, DOI 10.1111/j.1365-2966.2006.10908.x; Polyanin A.D., 2003, HDB NONLINEAR PARTIA, DOI [10.1201/9780203489659, DOI 10.1201/9780203489659]; Sachdev P.L., 2000, MONOGRAPHS SURVEYS P, V113, DOI [10.1201/9781420035711, DOI 10.1201/9781420035711]; SACK C, 1985, PHYS LETT A, V110, P206, DOI 10.1016/0375-9601(85)90125-2; SCOTT JF, 1981, P ROY SOC LOND A MAT, V373, P443, DOI 10.1098/rspa.1981.0003; SHANDARIN SF, 1989, REV MOD PHYS, V61, P185, DOI 10.1103/RevModPhys.61.185; SUTO Y, 1988, ASTROPHYS J, V326, P527, DOI 10.1086/166114; TAN DC, 1994, J DIFFER EQUATIONS, V112, P1, DOI 10.1006/jdeq.1994.1093; TUPCHIEV VA, 1973, DOKL AKAD NAUK SSSR+, V211, P55; Vaganan BM, 2008, NONLINEAR ANAL-REAL, V9, P2222, DOI 10.1016/j.nonrwa.2007.08.001; Wang J.H., 2000, J PARTIAL DIFF EQS, V13, P253; Wang JH, 2003, J MATH ANAL APPL, V284, P213, DOI 10.1016/S0022-247X(03)00336-6; Yang HC, 2012, J DIFFER EQUATIONS, V252, P5951, DOI 10.1016/j.jde.2012.02.015; Yang HC, 1999, J DIFFER EQUATIONS, V159, P447, DOI 10.1006/jdeq.1999.3629; Zhang H, 2004, COMPUT MATH APPL, V47, P353, DOI [10.1016/S0898-1221(04)90030-2, 10.1016/S0898-1221(04)00017-3]; Zhang H, 2001, COMPUT MATH APPL, V41, P589, DOI 10.1016/S0898-1221(00)00302-3</t>
  </si>
  <si>
    <t>IOS PRESS</t>
  </si>
  <si>
    <t>NIEUWE HEMWEG 6B, 1013 BG AMSTERDAM, NETHERLANDS</t>
  </si>
  <si>
    <t>0921-7134</t>
  </si>
  <si>
    <t>1875-8576</t>
  </si>
  <si>
    <t>ASYMPTOTIC ANAL</t>
  </si>
  <si>
    <t>Asymptotic Anal.</t>
  </si>
  <si>
    <t>10.3233/ASY-211690</t>
  </si>
  <si>
    <t>YV0NZ</t>
  </si>
  <si>
    <t>WOS:000752432000004</t>
  </si>
  <si>
    <t>Gaona, IMS; Mendoza, MC; Vargas, CAP</t>
  </si>
  <si>
    <t>Gaona, I. M. Saavedra; Mendoza, M. Castaneda; Vargas, C. A. Parra</t>
  </si>
  <si>
    <t>Structural and Magnetic Properties of Nd3Ba5Cu8O18+delta Superconductor</t>
  </si>
  <si>
    <t>JOURNAL OF LOW TEMPERATURE PHYSICS</t>
  </si>
  <si>
    <t>Superconductor; XRD; SEM; VSM</t>
  </si>
  <si>
    <t>CURRENT-DENSITY; T-C; Y3BA5CU8O18; PHASE; Y358; SUSCEPTIBILITY; NANOPARTICLES; FLUCTUATIONS; ENERGY; ND3+</t>
  </si>
  <si>
    <t>In this paper, we present experimental research on the crystal structure, morphology, and magnetic properties of the Nd3Ba5Cu8O18+delta superconductor. The powder sample was obtained through the standard solid-state reaction at a temperature of 850 degrees C in oxygen atmosphere. Using the X-ray diffraction technique (XRD), the phase content of the calcined powder was investigated. A Rietveld refinement of XRD patterns shows that the material crystallizes in an orthorhombic structure, which belongs to Pmm2 (25) space group, with lattice parameters a = 3.914(3) angstrom, b = 3.880(3) angstrom, and c = 31.288(8) angstrom. Scanning electron microscopy (SEM) shows a granular formation for the sample and the elementary composition. Magnetization curves as a function of temperature were obtained for the first time using the vibrating sample magnetometry technique (VSM) in a zero field cooled/field cooled (ZFC/FC) mode to calculate the critical temperature (T-c) and irreversibility temperature (T-irr). The measurements reveal a superconductor behavior with a T-c = 78.09 K and a T-irr = 72.01 K.</t>
  </si>
  <si>
    <t>[Gaona, I. M. Saavedra; Mendoza, M. Castaneda; Vargas, C. A. Parra] Univ Pedag &amp; Tecnol Colombia, Escuela Fis, Grp Fis Mat, Ave Cent Norte 39-115, Boyaca 150003, Colombia</t>
  </si>
  <si>
    <t>Mendoza, MC (corresponding author), Univ Pedag &amp; Tecnol Colombia, Escuela Fis, Grp Fis Mat, Ave Cent Norte 39-115, Boyaca 150003, Colombia.</t>
  </si>
  <si>
    <t>michael.castaneda@uptc.edu.co</t>
  </si>
  <si>
    <t>Saavedra Gaona, Indry Milena/0000-0002-8354-1886</t>
  </si>
  <si>
    <t>Algarni R, 2021, J ALLOY COMPD, V852, DOI 10.1016/j.jallcom.2020.157019; Aliabadi A, 2014, J SUPERCOND NOV MAGN, V27, P741, DOI 10.1007/s10948-013-2367-1; Aliabadi A, 2009, PHYSICA C, V469, P2012, DOI 10.1016/j.physc.2009.09.003; Basoglu M, 2021, J SUPERCOND NOV MAGN, V34, P1077, DOI 10.1007/s10948-021-05822-0; Basoglu M, 2021, J SUPERCOND NOV MAGN, V34, P117, DOI 10.1007/s10948-020-05690-0; Basoglu M, 2016, J SUPERCOND NOV MAGN, V29, P1737, DOI 10.1007/s10948-016-3481-7; Dey D, 2018, SCI REP-UK, V8, DOI 10.1038/s41598-018-20774-7; Dias FT, 2014, J PHYS CONF SER, V568, DOI 10.1088/1742-6596/568/2/022009; Duzgun I, 2018, TURK J PHYS, V42, P378, DOI 10.3906/fiz-1802-27; Esmaeili A, 2011, J SUPERCOND NOV MAGN, V24, P2237, DOI 10.1007/s10948-011-1190-9; GALLAGHER PK, 1987, MATER RES BULL, V22, P995, DOI 10.1016/0025-5408(87)90099-7; GENOUD JY, 1992, PHYSICA C, V192, P137, DOI 10.1016/0921-4534(92)90753-Y; Ghahramani S, 2021, J ELECTRON MATER, V50, P4727, DOI 10.1007/s11664-021-09012-5; Gholipour S, 2012, J SUPERCOND NOV MAGN, V25, P2253, DOI 10.1007/s10948-012-1611-4; GOMEZ R, 1987, PHYS REV B, V36, P7226, DOI 10.1103/PhysRevB.36.7226; Hannachi E, 2022, APPL PHYS A-MATER, V128, DOI 10.1007/s00339-022-05946-7; KARPINSKI J, 1989, PHYSICA C, V161, P618, DOI 10.1016/0921-4534(89)90398-5; Khosroabadi H, 2014, PHYSICA C, V497, P84, DOI 10.1016/j.physc.2013.11.010; Kruaehong T, 2017, J AUST CERAM SOC, V53, P3, DOI 10.1007/s41779-016-0001-y; LIU R, 1992, PHYS REV B, V45, P5614, DOI 10.1103/PhysRevB.45.5614; MARSH P, 1988, NATURE, V334, P141, DOI 10.1038/334141a0; Metin T, 2017, J SUPERCOND NOV MAGN, V30, P1083, DOI 10.1007/s10948-016-3768-8; Pena JP, 2013, BRAZ J PHYS, V43, P22, DOI 10.1007/s13538-012-0109-7; Rekaby M, 2019, J SUPERCOND NOV MAGN, V32, P3483, DOI 10.1007/s10948-019-5143-z; Rekaby M, 2014, J SUPERCOND NOV MAGN, V27, P2385, DOI 10.1007/s10948-014-2572-6; Gaona IMS, 2020, CERAM INT, V46, P11530, DOI 10.1016/j.ceramint.2020.01.179; Salamati H, 2003, SOLID STATE COMMUN, V125, P407, DOI 10.1016/S0038-1098(02)00809-8; Shlimas DI, 2020, J MATER SCI-MATER EL, V31, P12903, DOI 10.1007/s10854-020-03843-4; Slimani Y, 2018, CERAM INT, V44, P19950, DOI 10.1016/j.ceramint.2018.07.261; Sujinnapram S, 2011, B MATER SCI, V34, P1053, DOI 10.1007/s12034-011-0130-4; Supelano GI, 2016, J LOW TEMP PHYS, V182, P141, DOI 10.1007/s10909-015-1415-6; Tavana A, 2010, EUR PHYS J B, V73, P79, DOI 10.1140/epjb/e2009-00396-7; Topal U, 2011, J SUPERCOND NOV MAGN, V24, P2099, DOI 10.1007/s10948-011-1176-7; Vieira VN, 2001, PHYS REV B, V64, DOI 10.1103/PhysRevB.64.094516; WU MK, 1987, PHYS REV LETT, V58, P908, DOI 10.1103/PhysRevLett.58.908; Zak AK, 2011, SOLID STATE SCI, V13, P251, DOI 10.1016/j.solidstatesciences.2010.11.024; Zdorovets MV, 2020, CERAM INT, V46, P6217, DOI 10.1016/j.ceramint.2019.11.090</t>
  </si>
  <si>
    <t>SPRINGER/PLENUM PUBLISHERS</t>
  </si>
  <si>
    <t>233 SPRING ST, NEW YORK, NY 10013 USA</t>
  </si>
  <si>
    <t>0022-2291</t>
  </si>
  <si>
    <t>1573-7357</t>
  </si>
  <si>
    <t>J LOW TEMP PHYS</t>
  </si>
  <si>
    <t>J. Low Temp. Phys.</t>
  </si>
  <si>
    <t>MAY</t>
  </si>
  <si>
    <t>3-4</t>
  </si>
  <si>
    <t>10.1007/s10909-023-02963-5</t>
  </si>
  <si>
    <t>Physics, Applied; Physics, Condensed Matter</t>
  </si>
  <si>
    <t>E3OH4</t>
  </si>
  <si>
    <t>WOS:000970237700001</t>
  </si>
  <si>
    <t>Marquez, L; Pineda, LX; Poveda, JC</t>
  </si>
  <si>
    <t>Marquez, Luis; Pineda, Laura X.; Poveda, Juan C.</t>
  </si>
  <si>
    <t>Mobility-impaired people's preferences for a specialized paratransit service as BRT's feeder: The role of autonomy, relatedness, and competence</t>
  </si>
  <si>
    <t>TRANSPORTATION RESEARCH PART A-POLICY AND PRACTICE</t>
  </si>
  <si>
    <t>Self-determination theory; Autonomy; Hybrid discrete choice model; Mobility-impaired people; Transportation feeder services</t>
  </si>
  <si>
    <t>SELF-DETERMINATION THEORY; PUBLIC TRANSPORT; BEHAVIOR; CHOICE; MODEL; SATISFACTION; ENVIRONMENT; MOTIVATION; ATTITUDES; TRIPS</t>
  </si>
  <si>
    <t>Transportation is a very important element in the well-being of mobility-impaired people. However, people with disabilities often struggle to access transportation services at all, especially if they live in mountain areas. This study is aimed at better understanding the main factors that affect the preferences for a new specialized paratransit service as BRT's feeder to serve the portion of the trip that mobility-impaired people cannot manage. We hypothesized that in addition to some observable attributes of the transportation services, such as time and travel cost, mobility-impaired people's preferences for a specialized paratransit service as BRT's feeder could be better explained by using a hybrid discrete choice model based on the Self-Determination Theory (SDT). We gathered responses through a stated-preference survey (N = 350), in which respondents faced a series of choice situations among three BRT feeder alternatives: bus, cable car and a new specialized service. We also obtained indicator ratings through a basic psychological needs satisfaction scale to identify the latent variables in relation to the SDT. Modeling results supported our hypothesis that the preferences of mobility-impaired people are better explained by considering the three innate psychological needs. We found empirical evidence linking the components of the SDT, i.e. Autonomy, Relatedness, and Competence, with preferences for the specialized transportation service as BRT's feeder in the study context. The multipliers of values of time savings derived from the model showed that mobility-impaired people place access time four times more important than travel time. We accounted for the heterogeneity in value of travel time savings and found that the greater the autonomy in mobility-impaired people the greater their sensitivity to the specialized transportation service's fare. We concluded that Autonomy, Relatedness, and Competence play an important role in the preferences of mobility-impaired people. Autonomy is a determining factor in perception of alternative fares. Competence motivates mobility-impaired people to use the specialized paratransit service as BRT's feeder, while Relatedness motivates mobility-impaired people to use the same transportation alternatives used by others.</t>
  </si>
  <si>
    <t>[Marquez, Luis; Pineda, Laura X.; Poveda, Juan C.] Univ Pedag &amp; Tecnol Colombia, Ave Cent Norte 39-115, Tunja, Colombia</t>
  </si>
  <si>
    <t>Marquez, L (corresponding author), Univ Pedag &amp; Tecnol Colombia, Ave Cent Norte 39-115, Tunja, Colombia.</t>
  </si>
  <si>
    <t>luis.marquez@uptc.edu.co; laura.pineda02@uptc.edu.co; juan.poveda@uptc.edu.co</t>
  </si>
  <si>
    <t>Access Exchange International, 2012, PAR MOB PERS DEV REG; Adachi P. J. C., 2017, MOTIV SCI, V4, P78, DOI [10.1037/mot0000063, DOI 10.1037/MOT0000063]; Agmon M, 2016, INT J EQUITY HEALTH, V15, DOI 10.1186/s12939-016-0437-2; AJZEN I, 1991, ORGAN BEHAV HUM DEC, V50, P179, DOI 10.1016/0749-5978(91)90020-T; [Anonymous], 2011, LANCET, V377, P1977, DOI 10.1016/S0140-6736(11)60844-1; Barta, 2014, SPEC SERV HDB; BAUMEISTER RF, 1995, PSYCHOL BULL, V117, P497, DOI 10.1037/0033-2909.117.3.497; Ben-Akiva M., 2002, PERPETUAL MOTION TRA, V1, P431, DOI [10.1016/b978-008044044-6/50022-x, 10.1016/B978-008044044-6/50022-X]; Bitterman A, 2008, DISABIL SOC, V23, P445, DOI 10.1080/09687590802177015; Boniface S, 2015, J TRANSP HEALTH, V2, P441, DOI 10.1016/j.jth.2015.05.005; Brucker DL, 2016, DISABIL HEALTH J, V9, P539, DOI 10.1016/j.dhjo.2016.01.001; Cantillo V, 2015, TRANSPORT RES F-TRAF, V32, P56, DOI 10.1016/j.trf.2015.04.008; Chen BW, 2015, MOTIV EMOTION, V39, P216, DOI 10.1007/s11031-014-9450-1; ChoiceMetrics, 2018, NGEN 1 2 US MAN REF; Crudden A, 2017, J VISUAL IMPAIR BLIN, V111, P341; Crudden A, 2015, J VISUAL IMPAIR BLIN, V109, P445; Daly A, 2012, TRANSPORTATION, V39, P267, DOI 10.1007/s11116-011-9351-z; Dane, 2010, POP REG LOC CHAR PEO; Deci E. L., 1985, INTRINSIC MOTIVATION, DOI [10.1207/S15327965PLI1104_01, DOI 10.1207/S15327965PLI1104_01]; Deci EL, 2000, PSYCHOL INQ, V11, P227, DOI 10.1207/S15327965PLI1104_01; Deka D, 2014, TRANSPORT RES A-POL, V70, P181, DOI 10.1016/j.tra.2014.10.018; Doornik J.A, 2013, INTRO OXMETRICS 7 SO; Frater J, 2017, TRANSPORT RES F-TRAF, V46, P250, DOI 10.1016/j.trf.2017.03.005; Gillison FB, 2019, HEALTH PSYCHOL REV, V13, P110, DOI 10.1080/17437199.2018.1534071; Grise E, 2019, TRANSPORT RES A-POL, V125, P280, DOI 10.1016/j.tra.2018.02.017; Hancox JE, 2018, QUAL RES SPORT EXERC, V10, P75, DOI 10.1080/2159676X.2017.1354059; Hess S, 2006, TRANSPORT RES B-METH, V40, P147, DOI 10.1016/j.trb.2004.10.005; Houlfort N, 2015, J VOCAT BEHAV, V88, P84, DOI 10.1016/j.jvb.2015.02.005; Kaczmirek L, 2007, LECT NOTES COMPUT SC, V4554, P374; Kasser VG, 1999, J APPL SOC PSYCHOL, V29, P935, DOI 10.1111/j.1559-1816.1999.tb00133.x; Lattman K, 2019, INT J ENV RES PUB HE, V16, DOI 10.3390/ijerph16224498; Legault L, 2020, ENVIRON BEHAV, V52, P666, DOI 10.1177/0013916518811433; Mackett RL, 2015, J TRANSP HEALTH, V2, P610, DOI 10.1016/j.jth.2015.07.006; MacLeod K, 2015, J TRANSP HEALTH, V2, pS67, DOI 10.1016/j.jth.2015.04.467; Marquez L, 2019, TRANSPORT RES A-POL, V130, P452, DOI 10.1016/j.tra.2019.09.061; Marquez L, 2019, J TRANSP HEALTH, V14, DOI 10.1016/j.jth.2019.100583; Nalipay MJN, 2020, J ADOLESCENCE, V78, P67, DOI 10.1016/j.adolescence.2019.12.009; Nguyen-Hoang P, 2010, TRANSPORT RES A-POL, V44, P841, DOI 10.1016/j.tra.2010.08.006; Owusu-Ansah JK, 2019, GEOJOURNAL, V84, P1003, DOI 10.1007/s10708-018-9907-y; Park J, 2020, J TRANSP ENG A-SYST, V146, DOI 10.1061/JTEPBS.0000321; Park J, 2018, J TRANSP HEALTH, V10, P361, DOI 10.1016/j.jth.2018.05.008; Park K, 2023, TRANSPORT REV, V43, P178, DOI 10.1080/01441647.2022.2060371; Cepeda EP, 2018, RES TRANSP ECON, V69, P445, DOI 10.1016/j.retrec.2018.08.009; Peters D, 2018, FRONT PSYCHOL, V9, DOI 10.3389/fpsyg.2018.00797; Rosenbloom S, 2007, FUTURE DISABILITY AM, P519; Ryan R.M., 2019, ADV MOTIVATION SCI, V6, P111, DOI DOI 10.1016/BS.ADMS.2019.01.001; Ryan RM, 2000, AM PSYCHOL, V55, P68, DOI 10.1037/0003-066X.55.1.68; SALUDATA, 2019, POP DIS LOC BOG D C; Sammer G, 2012, TRANSPORT RES REC, P46, DOI 10.3141/2320-06; Secretaria Distrital de Planeacion, 2014, PROYECC POBL LOC BOG; Soto JJ, 2018, TRANSPORT RES A-POL, V111, P65, DOI 10.1016/j.tra.2018.03.003; Standage M., 2019, ADV SPORT EXERCISE P, P289; Sweeney JC, 2014, PSYCHOL MARKET, V31, P698, DOI 10.1002/mar.20729; Tagkaloglou S, 2018, J ENVIRON PSYCHOL, V58, P86, DOI 10.1016/j.jenvp.2018.06.004; Train KE, 2009, DISCRETE CHOICE METHODS WITH SIMULATION, 2ND EDITION, P1, DOI 10.1017/CBO9780511805271; Verbich D, 2016, TRANSPORT POLICY, V47, P64, DOI 10.1016/j.tranpol.2015.12.009; Wang C, 2019, COMPUT HUM BEHAV, V95, P114, DOI 10.1016/j.chb.2019.01.034; Weinstein N, 2019, COMPUT HUM BEHAV, V90, P170, DOI 10.1016/j.chb.2018.08.053; Yanez-Pagans P, 2019, LAT AM ECON REV, V28, DOI 10.1186/s40503-019-0079-z; Zaragoza J, 2020, J TRANSP HEALTH, V16, DOI 10.1016/j.jth.2020.100839; Zhang CQ, 2019, TRANSPORT RES F-TRAF, V64, P424, DOI 10.1016/j.trf.2019.06.003</t>
  </si>
  <si>
    <t>0965-8564</t>
  </si>
  <si>
    <t>1879-2375</t>
  </si>
  <si>
    <t>TRANSPORT RES A-POL</t>
  </si>
  <si>
    <t>Transp. Res. Pt. A-Policy Pract.</t>
  </si>
  <si>
    <t>10.1016/j.tra.2022.09.008</t>
  </si>
  <si>
    <t>Economics; Transportation; Transportation Science &amp; Technology</t>
  </si>
  <si>
    <t>Business &amp; Economics; Transportation</t>
  </si>
  <si>
    <t>5D9YH</t>
  </si>
  <si>
    <t>WOS:000865288200004</t>
  </si>
  <si>
    <t>Lagos, JIB; Mayorga, WB</t>
  </si>
  <si>
    <t>Becerra Lagos, Jose Inocencio; Becerra Mayorga, Witton</t>
  </si>
  <si>
    <t>PLANTS, ANIMALS AND ROADS IN THE POETRY OF HUGO JAMIOY</t>
  </si>
  <si>
    <t>ACTA POETICA</t>
  </si>
  <si>
    <t>Indigenous Oralitures; Hugo Jamioy; Camentsa Poetry; Nature; Ecocriticism</t>
  </si>
  <si>
    <t>Several works of contemporary indigenous literature from Latin America can be read as a scenario of lyrical and narrative proposal of a harmonious relationship between human beings and nature. Almost always in their own language, each poet criticizes, describes and proposes variants of this relationship, born from the way their people live with nature. In the collection of poems Binybe oboyejuayeng (Dancers of the Wind), by Hugo Jamioy, we have found three thematic axes in which this relationship unfolds: the presence of plants, animals and roads. In this article, we will interpret these presences in some poems, complementing the analysis with the place they have in Camentsa culture.</t>
  </si>
  <si>
    <t>[Becerra Lagos, Jose Inocencio; Becerra Mayorga, Witton] Univ Pedag &amp; Tecnol Colombia, Bogota, Colombia</t>
  </si>
  <si>
    <t>Lagos, JIB (corresponding author), Univ Pedag &amp; Tecnol Colombia, Bogota, Colombia.</t>
  </si>
  <si>
    <t>jose.becerra01@uptc.edu.co; witton.becerra@uptc.edu.co</t>
  </si>
  <si>
    <t>AVIDA PERALTA RAMON, SERVINDI SERVICIOS C; BAJTIN Mijail, 1989, TEORIA ESTETICA NOVE; Chindoy Tirsa, 2019, KAM LEG VIS DIOC MOC; Day Ida, 2013, THESIS U GEORGIA; Diaz Gonzalez Luis, 2007, REV ANTROPOL SOC, V17, P141; Freitas J. G., 2016, MARIT J LIT HIST CUL, VVIII, P27; Gomez Ardila Cristian, 2016, VISIONES MUNDO TRES; Jamioy Hugo, 2005, IDENTIDAD LINGUISTIC, P199; Jamioy Hugo, 2010, BIBLIOTECA BASICA PU, V6; Martos Nunez Eloy., 2015, AQUA TERRIT, P121, DOI [10.17561/at.v0i5.2539, DOI 10.17561/AT.V0I5.2539]; Ortiz Carolina, 2013, POETICA HUGO JAMIOY; Rocha Miguel, 2017, PUTCHI BIYA UAI 2 PU; Monarca CR, 2017, TALLER LET, P19; Salazar Jeronimo, 2015, TRABAJO DE GRADO; Silko Leslie Marmon, 1996, ECOCRITICISM READER, P264; Simanca Pushaina Estercilia, 2006, ENCIERRO PEQUENA DON; Vargas Pardo Camilo, 2019, THESIS U SORBANAN U; Villegas-Restrepo Juan, 2018, AGENDA CULTURAL, V251, P9</t>
  </si>
  <si>
    <t>UNIV NAC AUTONOMA MEXICO, INST INVESTIGACIONES FILOLOGICAS</t>
  </si>
  <si>
    <t>MEXICO CITY</t>
  </si>
  <si>
    <t>CIRCUITO MARIO CUEVA, ZONA CULTURAL, MEXICO CITY, DF 04510, MEXICO</t>
  </si>
  <si>
    <t>0185-3082</t>
  </si>
  <si>
    <t>2448-735X</t>
  </si>
  <si>
    <t>Acta Poetica</t>
  </si>
  <si>
    <t>10.19130/iifl.ap.2022.2.178x270s5</t>
  </si>
  <si>
    <t>Literary Theory &amp; Criticism; Literature</t>
  </si>
  <si>
    <t>4L5YG</t>
  </si>
  <si>
    <t>WOS:000852706100005</t>
  </si>
  <si>
    <t>Boyaca-Munoz, M; Diaz-Medina, AV; Gonzalez-Rodriguez, AM</t>
  </si>
  <si>
    <t>Boyaca-Munoz, Maribel; Valentina Diaz-Medina, Andrea; Mireya Gonzalez-Rodriguez, Angela</t>
  </si>
  <si>
    <t>Territory in transit. A meeting of subjectivities located within the creative act</t>
  </si>
  <si>
    <t>CALLE 14-REVISTA DE INVESTIGACION EN EL CAMPO DEL ARTE</t>
  </si>
  <si>
    <t>Art; artistic creation; identities; territories</t>
  </si>
  <si>
    <t>This manifesto of territorial subjectivities offers three views on territory, which imply a relationship of reciprocity. The first view will be referred to as art-territory. Secondly, we postulate the construction of a category that we define as transit territory. This is a category that is represented both physically and symbolically. Thirdly, in recent times, a dialogue has been developing around the drift from the urban to the rural, and from this conversation has arisen the constant search to understand the symbiosis located within inhabit-becoming-identity. Thus, within this exploration the act of creating and being created emerges. This article claims that this act can be understood as a declaration of a territory that immerses us in the subjective formation of bodies, as forms of malleable matter. Thus, the article argues that the natural habitat was questioned when art became the interpreter of life and territories as a dynamic construction in society were defined.</t>
  </si>
  <si>
    <t>[Boyaca-Munoz, Maribel; Valentina Diaz-Medina, Andrea; Mireya Gonzalez-Rodriguez, Angela] Univ Pedag &amp; Tecnol Colombia, Tunja, Boyaca, Colombia</t>
  </si>
  <si>
    <t>Boyaca-Munoz, M (corresponding author), Univ Pedag &amp; Tecnol Colombia, Tunja, Boyaca, Colombia.</t>
  </si>
  <si>
    <t>maribel.boyaca@uptc.edu.co; andrea.diaz02@uptc.edu.co; angela.gonzalez06@uptc.edu.co</t>
  </si>
  <si>
    <t>Aguilar-Nuevo Rocio, 2011, LAB ARTE, P523; Alejos J., 2006, ACTA POETICA, V27, P45, DOI [10.19130/iifl.ap.2006.1.189, DOI 10.19130/IIFL.AP.2006.1.189]; Bachelard G, 2000, POETICA ESPACIO; Barragán Giraldo Diego Fernando, 2016, Rev. colomb. educ., P247; DEBORD G., 1999, INT SITUACIONISTA, VI; DELEUZE Gilles, 2002, MIL MESETAS CAPITALI; Farina C., 2007, EDUCACION CUERPO CIU, P115; Feldman J, 2017, BOL ARTE-UMA, P87, DOI 10.24310/BoLArte.2017.v0i38.3222; Gell Alfred, 2016, ARTE AGENCIA TEORIA; Guattari F., 1996, CAOSMOSIS; Guattari F., 1994, NUEVOS PARADIGMASCUL, P185; HEIDEGGER M., 1975, TEORIA, V5-6, P150; Ingold T., 2015, MUNDOS PLURALES REV, V2, P9, DOI [10.17141/mundosplurales.2.2015.1982, DOI 10.17141/MUNDOSPLURALES.2.2015.1982]; Rosental M. M., 1965, DICCIONARIO FILOSOFI; Sanchez A., 2005, ESTETICA RECEPCION E, P103; Sauvagnargues A., 2006, DELEUZE ANIMAL ARTE; Silva A, 2019, TOPOFILIA REV ARQUIT, V19, P1; Tovar-Alvarez P., 2015, IBEROAMERICA SOCIAL; Tovar-Alvarez P., 2017, IBEROAMERICA SOCIAL; Zepke Stephen, 2009, ANTIPOD-REV ANTROPOL, V7, P295, DOI [10.7440/antipoda7.2008.12, DOI 10.7440/ANTIPODA7.2008.12]</t>
  </si>
  <si>
    <t>UNIV DISTRITAL FRANCISCO JOSE DE CALDAS, FAC ARTES ASAB</t>
  </si>
  <si>
    <t>CRA 13 NO 14-69, BOGOTA, 00000, COLOMBIA</t>
  </si>
  <si>
    <t>2011-3757</t>
  </si>
  <si>
    <t>2145-0706</t>
  </si>
  <si>
    <t>CALLE 14</t>
  </si>
  <si>
    <t>Calle 14</t>
  </si>
  <si>
    <t>10.14483/21450706.19627</t>
  </si>
  <si>
    <t>Art</t>
  </si>
  <si>
    <t>3F2ZZ</t>
  </si>
  <si>
    <t>WOS:000830540200009</t>
  </si>
  <si>
    <t>Vacas, MTS; Vanegas, DXM</t>
  </si>
  <si>
    <t>Vacas, Maria Teresa Suarez; Vanegas, Diana Ximena Mora</t>
  </si>
  <si>
    <t>Ludosophy: the art of living in plenitude</t>
  </si>
  <si>
    <t>art; education; philosophy; play; daily life</t>
  </si>
  <si>
    <t>PLAY</t>
  </si>
  <si>
    <t>This reflective article examines the concept of ludosophy, its meanings, and its connections. It is based on a study of the categories of playfulness, play, and philosophy. An initial inquiry is made on new possibilities to play the game of learning, thinking, and doing philosophy in a ludic state. The methodology is of a documentary nature, with the use of tools provided by Foucault's works. An exercise of reflective thinking is carried out between conceptual inquiry and the ways of understanding the world. First, the relationship between playfulness and games, playfulness as a dimension of happiness, and philosophy in perspective of life are approached. Secondly, some interpretations and meanings developed around the term of ludosophy are presented in two dimensions: as an educational experience of provocation and as an art of living in a ludic state. The third section analyzes other possibilities different from playing games that, given their philosophical meaning, can produce ludic states. To conclude, the encounter between playfulness and philosophy-ludosophy-is presented as a disposition of the person who is amazed and longs for happiness as a state of spiritual and physical well-being to give meaning to existence and to transform the ways of looking after and relating to oneself, to others, and to the world.</t>
  </si>
  <si>
    <t>[Vacas, Maria Teresa Suarez; Vanegas, Diana Ximena Mora] Univ Pedag &amp; Tecnol Colombia, Boyaca, Colombia</t>
  </si>
  <si>
    <t>Vacas, MTS (corresponding author), Univ Pedag &amp; Tecnol Colombia, Boyaca, Colombia.</t>
  </si>
  <si>
    <t>maria.suarez@uptc.edu.co</t>
  </si>
  <si>
    <t>Acuña Agudelo María Piedad, 2020, Educ. Educ., V23, P444, DOI 10.5294/edu.2020.23.3.5; Bernate JA, 2021, SPORTIS, V7, P171, DOI 10.17979/sportis.2021.7.1.6758; Baumgarten A.G., 2020, ESTETICA, Vit; Benjamin W., 2015, JUGUETES; Bohorquez C., 2020, PENSAMIENTO COMPLEJO; Caballero G., 2021, POLO CONOCIMIENTO, V6, P861, DOI [10.23857/pc.v6i4.2615, DOI 10.23857/PC.V6I4.2615]; Caillois R., 1986, HOMBRE JUEGO MASCARA; Deleuze G., 1994, LOGICA DEL SENTIDO; Fink E., 1966, OASIS FELICIDAD; Forbes LK, 2021, J TEACH LEARN, V15, P57, DOI 10.22329/jtl.v15i1.6515; Foucault M., 1982, IMPOSIBLE PRISION DE, P37; Foucault M., 2010, SIGLO 21; Foucault M., 2007, SIGLO, VXXI; Foucault M., 1984, ARCHITECTURE MOUVEME, DOI DOI 10.2307/464648; Galak E., 2022, RETOS, V45, P642, DOI [10.47197/retos.v45i0.91711, DOI 10.47197/RETOS.V45I0.91711]; Gutierrez C., 2017, BAJO PALABRA REV FIL, P83, DOI [10.15366/bp2017.16, DOI 10.15366/BP2017.16]; Hadot P., 2006, EJERCICIOS ESPIRITUA; Hadot P., 1998, QUE FILOSOFIA ANTIGU; Hall S., 1904, ADOLESCENCE, VI; Huizinga J., 2015, HOMO LUDENS; Kant I., 2013, CRITICA DEL JUICIO; Lipman M., 1980, FILOSOFIA SALON CLAS; Lopes A., 2020, EDUCACAO, V45, P1, DOI [10.5902/1984644439447, DOI 10.5902/1984644439447]; Lopez A., 2004, JUEGO ANALISIS REV B; Lopez G., 2000, APRENDER PENSAR, V22, P11; Meneses M., 2001, REV EDUC-COSTA RICA, V25, P113; MORAES FERNANDO APARECIDO DE, 2021, Educ. rev., V37, pe25000, DOI 10.1590/0102-469825000; Moraes V., 2019, EDUCATIONIS, V7, P1, DOI [10.6008/CBPC2318-3047.2019.001.0001, DOI 10.6008/CBPC2318-3047.2019.001.0001]; Morales L., 2022, LUDICA INFANCIA TEJI, P17; Morin E., 2006, METODO 5 HUMANIDAD H; Paramo V., 2012, REV FILOS-SANTIAGO, P563; Perez-Rincón Héctor, 2014, Rev. latinoam. psicopatol. fundam., V17, P827, DOI 10.1590/1415-4714.2014v17n4p827.1; Piaget J., 1961, FORMACION SIMBOLO NI; PIAGET J, 1951, PLAY DREAMS IMITATIO; Pineda D., 2004, FILOSOFIA NINOS ABC; Pino Y., 2022, LUDICA PEDAGOGICA, V1, P1; Platon, 1988, FED DIAL; Platon, 1981, PROT DIAL; Platon, 1981, AP DIAL; Posso P., 2015, LUDICA PEDAGOGICA, V21, P163, DOI [10.17227/01214128.21ludica163.174, DOI 10.17227/01214128.21LUDICA163.174]; Pulido O., 2017, FORMAS EXPRESIONES M; RealAcademiaEspanola, 2022, DEF DEL; Rider R., 2009, COLOR PSYCHOL GRAPHI; Ridge M, 2019, PHILOS COMPASS, V14, DOI 10.1111/phc3.12573; Salamanca Z., 2021, CONVERSANDO CURRICUL, P29; Sarle P., 2011, INFANC IMAGENES, V10, P83, DOI [10.14483/16579089.4451, DOI 10.14483/16579089.4451]; Sarle P., 2006, ENSENAR JUEGO JUGAR; Schmid W., 2007, FELICIDAD PRETEXTOS; Stefani Graciela, 2014, Interdisciplinaria, V31, P39; Suarez M., 2016, ATO EDUCAR LINGUA AI, P149; Suarez M., 2021, DIAGRAMAS POLIFONIAS; Vega D., 2022, CIENCIAMATRIA, V8, P466, DOI [10.35381/cm.v8i2.721, DOI 10.35381/CM.V8I2.721]</t>
  </si>
  <si>
    <t>e14611</t>
  </si>
  <si>
    <t>10.19053/22160159.v13.n35.2022.14611</t>
  </si>
  <si>
    <t>G0PU6</t>
  </si>
  <si>
    <t>WOS:000986286800007</t>
  </si>
  <si>
    <t>Piragauta, YNC</t>
  </si>
  <si>
    <t>Carrero Piragauta, Yina Nathalia</t>
  </si>
  <si>
    <t>Urban parks, post-conflict and sustainability. Case study Tunja, Colombia</t>
  </si>
  <si>
    <t>REVISTA DE URBANISMO</t>
  </si>
  <si>
    <t>diagnostic; post-conflict; urban green space; urban park; urban planning</t>
  </si>
  <si>
    <t>GREEN SPACES</t>
  </si>
  <si>
    <t>Colombia, a biologically and culturally diverse country, signed a Peace Agreement in 2016, a socio-political event that impacts urban planning from a holistic perspective, emphasizing the study of public spaces as critical elements of social and environmental interaction. In Tunja (city of study), beyond the process of numbering urban parks and their area, there is no research or administrative support to guide decision-making regarding the planning of these spaces for the community's welfare, involving the concept of sustainability and its impact on the post-conflict. This article aims to diagnose the state of the urban parks of Tunja under the systemic approach of sustainability in urban thinking, analyzing the role they play as an essential part of public space to generate instruments of cohesion, memory, and repair within the dynamics of post-conflict as a multidimensional phenomenon. The exploratory methodology focused on field data collection, classification, and analysis of environmental, social, and economic variables, seeking relationships between their diagnosis and the topic of interest, the post-conflict. Consequently, a deficit in green area per capita (2,1 m2/inhabitant), vegetation, equipment, and poor social perception was evidenced; factors that act as limiting factors in the use, access, and identity of public space, thus concluding that the urban parks in Tunja are not acting as spaces that from a sustainability perspective can contribute to the process of reparation and social incorporation of victims of the armed conflict in Colombia.</t>
  </si>
  <si>
    <t>[Carrero Piragauta, Yina Nathalia] Univ Pedag &amp; Tecnol Colombia, Grp Invest Sostenibilidad Ambiental Biodiversidad, Tunja, Colombia</t>
  </si>
  <si>
    <t>Piragauta, YNC (corresponding author), Univ Pedag &amp; Tecnol Colombia, Grp Invest Sostenibilidad Ambiental Biodiversidad, Tunja, Colombia.</t>
  </si>
  <si>
    <t>yina.carrero@uptc.edu.co</t>
  </si>
  <si>
    <t>Agencia de Ecologia Urbana de Barcelona, 2010, PLAN IND SOST URB VI; Alcaldia Mayor de Tunja, 2020, PLAN DES TUNJ CAP QU; [Anonymous], 2014, ACUERDO MUNICIPAL N; [Anonymous], 2016, CNN ESPANOL 1003; Carrizosa-Umana J, 2018, AMBIENTE DISCUSION P; Departamento Administrativo Nacional de Estadistica, PREG FREC ESTR; Departamento Administrativo Nacional de Estadistica, 2018, DEM POBL CENS NAC PO; Erazo L., 2017, REV CIUDAD PAZ ANDO, V10, P47, DOI [10.14483/2422278X.11778, DOI 10.14483/2422278X.11778]; Fundacion Ideas para la Paz, 2016, RAD PLEB POSPL; Giraldo-Ramirez J., 2014, VIOLENCIA URBANA RAD, P65; Gómez Néstor Javier, 2018, Cuad. Geogr. Rev. Colomb. Geogr., V27, P164, DOI 10.15446/rcdg.v27n1.58740; Gomez Pestana R., 2017, MISION JURIDICA REV, V10, P265; Gongora L., 2017, APROPIACION ESPACIO; Graciano-Avila G, 2017, ECOSIS RECUR AGROPEC, V4, P535, DOI 10.19136/era.a4n12.1114; Gualdron D., 2020, REV ESPACIOS, V41, P252; Hernandez Garcia J, 2020, SOSTENIBILIDAD URBAN, P113; Hernandez-Sampieri R., 2014, METODOLOGIA INVESTIG; Institute For Transportation and Development Policy, 2017, DOT EST; Jaramillo S, 2014, PAZ TERRITORIAL; Jurisdiccion Especial para la Paz, 2021, UN INV AC COM 101; Larry S., 2009, ESTADISTICA; Nunez JM, 2021, ECON SOC TERRIT, V21, P803, DOI 10.22136/est20211661; Ministerio de Ambiente y Desarrollo Sostenible, 2016, IND CAL AMB URB; Morales-Cerdas V, 2018, REV BIOL TROP, V66, P1421, DOI 10.15517/rbt.v66i4.32258; Naciones Unidas, 2017, NUEV AG URB HAB 3; Organizacion de las Naciones Unidas, 2015, NAC UN PAZ DIGN IG P; Ospina-Ramírez David Arturo, 2018, Rev.latinoam.cienc.soc.niñez juv, V16, P943, DOI 10.11600/1692715x.16220; Pereira Prado M. M., 2015, THESIS U JAVERIANA C; Pla L, 2006, INTERCIENCIA, V31, P583; Red Nacional de Informacion, 2020, CIFR DEP BOYAC MUN T; Reyes Paecke Sonia, 2019, Revista INVI, V34, P129; Packe SR, 2010, EURE, V36, P89; Ruggerio C.A., 2019, AREAS URBANAS PERIUR; Ruiz J, 2015, PERSPECT GEOGR, V20, P245; Tamayo Gómez Camilo, 2017, Signo pensam., V36, P54, DOI 10.11144/Javeriana.syp36-70.dgmc; Valderrama J.C, 2017, 2 C LAT GEST CULT PE; van Kamp Irene, 2003, Landscape and Urban Planning, V65, P5, DOI 10.1016/S0169-2046(02)00232-3; Vieira J, 2018, ENVIRON RES, V160, P306, DOI 10.1016/j.envres.2017.10.006; Yao L, 2014, ECOL INDIC, V47, P123, DOI 10.1016/j.ecolind.2014.07.009</t>
  </si>
  <si>
    <t>UNIV CHILE, FAC ARQUITECTURA &amp; URBANISMO</t>
  </si>
  <si>
    <t>CASILLA 3387, SANTIAGO, 00000, CHILE</t>
  </si>
  <si>
    <t>0717-5051</t>
  </si>
  <si>
    <t>REV URBAN</t>
  </si>
  <si>
    <t>Rev. Urban.</t>
  </si>
  <si>
    <t>10.5354/0717-5051.2022.65059</t>
  </si>
  <si>
    <t>Urban Studies</t>
  </si>
  <si>
    <t>8O9NT</t>
  </si>
  <si>
    <t>WOS:000926158600007</t>
  </si>
  <si>
    <t>Garzon, MRM</t>
  </si>
  <si>
    <t>Garzon, Margoth Rocio Mera</t>
  </si>
  <si>
    <t>Methodological design of spatial analysis for water conservation in the high basin of the Cauca River</t>
  </si>
  <si>
    <t>ENTORNO GEOGRAFICO</t>
  </si>
  <si>
    <t>Water; spatial analysis; combination; ecological structure; ecosystem; sociocultural; and high basin</t>
  </si>
  <si>
    <t>The present spatial analysis was carried out using the Geographic Information Systems (GIS) tool, which seeks to solve the problem of integrating or combining components of biotic, physical and sociocultural variables that demonstrate a correlation towards water conservation in a structure. ecological. This work was developed at the source of the Cauca river, which is located in the southwestern part of Colombia, in the department of Cauca, in the municipalities of Purace, Sotara, and Popayan. The basin is made up of three types of humid forest biomes (sub-Andean, high Andean and paramo), in addition to being populated by ancestral communities, peasant and rural communities and urbanized territories. The results of this spatial analysis are presented in a raster format or grids of the same size of the upper basin, where it is evident that by combining 16 variables and 3 components, 21 combinations are obtained for water conservation, which are essential. for production, storage and regulation of water in the upper basin of the Cauca river, bearing in mind the importance of including socio-cultural issues where agricultural and cultural practices are present in the transformation of the geographic space.</t>
  </si>
  <si>
    <t>[Garzon, Margoth Rocio Mera] Univ Pedag &amp; Tecnol Colombia, Programa Estudios Posgrad Geog EPG, Bogota, Colombia</t>
  </si>
  <si>
    <t>Garzon, MRM (corresponding author), Univ Pedag &amp; Tecnol Colombia, Programa Estudios Posgrad Geog EPG, Bogota, Colombia.</t>
  </si>
  <si>
    <t>margomera@gmail.com</t>
  </si>
  <si>
    <t>Agencia Nacional de Tierras, 2020, PORT DAT AB ANT; Bertrand C., 2006, GEOGRAFIA MEDIO AMBI; Burgos A., 2015, DIMENSIONES SOCIALES; Camacho J., 1992, DIVERSIDAD BIOL IBER, V1, P43; Corporacion Autonoma Regional de Cundinamarca, 2008, PROP ESTR EC REG REG; Corporacion Regional Natural del Cauca, 2017, FORM POMCA CUENC ALT; Grupo de Investigacion: Conocimiento Manejo y Conservacion de los Ecosistemas del Choco, 2011, ESTR EC PRINC REG CH; Instituto Amazonico de Investigaciones Cientificas SINCHI y Ministerio de Ambiente yDesarrollo Sostenible, 2014, MET ZON AMB ORD RES; Instituto de Hidrologia Meteorologia y Estudios Ambientales, 2014, EST NAC AG; Instituto de Hidrologia Meteorologia y Estudios Ambientales, 2018, ALT; Instituto de Hidrologia Meteorologia y Estudios Ambientales, 2018, ZON SUSC IN; Instituto de Hidrologia Meteorologia y Estudios Ambientales, 2018, CAP AC; Instituto de Hidrologia Meteorologia y Estudios Ambientales, 2018, CAPT AG; Instituto de Hidrologia Meteorologia y Estudios Ambientales, 2005, CART COB US TIERR; Instituto de Hidrologia Meteorologia y Estudios Ambientales, 2018, PREC; Instituto de Hidrologia Meteorologia y Estudios Ambientales, 2003, ESTR EC PRINC COL PR; Instituto Geografico Agustin Codazzi, 2018, DAT GEOGR CAP SUEL; Jongman RHG, 2004, LANDSCAPE URBAN PLAN, V68, P305, DOI 10.1016/S0169-2046(03)00163-4; Leon T., 2014, PERSPECTIVA AMBIENTA; Marquez G., 2008, GESTION AMBIENTE, V11; Ministerio de Ambiente y Desarrollo Sostenible, 2014, GUIA TECN ZON AMB OR; Ministerio de Ambiente y Desarrollo Sostenible, 2015, DOC TECN ID ESTR EC; Ministerio de Ambiente y Desarrollo Sostenible e Instituto de Investigacion de Recursos Biologicos Alexander von Humboldt, 2014, BOSQ SEC TROP; Ministerio de Ambiente y Desarrollo Sostenible e Instituto de Investigaciones Marinas y Costeras Jose Benito Vives de Andreis, 2017, GUIA TECN ORD MAN IN; Ministerio de Ambiente y Desarrollo Sostenible y Programa de las Naciones Unidas para el Desarrollo, 2016, MET DEF BAS TECN ZON; Parques Nacionales Naturales de Colombia, 2018, CART BIOG BIOM COL; Parques Nacionales Naturales de Colombia, 2020, CART RES NAC SOC CIV; Paz J., 2001, ESTRUCTURA TENENCIA, V1, P199; Remolina A., 2013, REV NODO, V16, P42; Sarmiento C., 2015, PARAMOS VIVOS TRANSI, P18</t>
  </si>
  <si>
    <t>CIUDAD UNIV MELENDEZ, CALLE 13 NO 100-00, CALI, 00000, COLOMBIA</t>
  </si>
  <si>
    <t>1692-0074</t>
  </si>
  <si>
    <t>2382-3518</t>
  </si>
  <si>
    <t>ENTORNO GEOGR</t>
  </si>
  <si>
    <t>Entorno Geogr.</t>
  </si>
  <si>
    <t>e21112239</t>
  </si>
  <si>
    <t>10.25100/eg.v0i24.12239</t>
  </si>
  <si>
    <t>C4AS7</t>
  </si>
  <si>
    <t>WOS:000961367900006</t>
  </si>
  <si>
    <t>Sanchez, JAJ; Bulla-Castaneda, DM; Diaz-Anaya, AM; Garcia-Corredor, DJ; Pulido-Medellin, MO</t>
  </si>
  <si>
    <t>Jimenez Sanchez, Jorge Alejandro; Maria Bulla-Castaneda, Diana; Maria Diaz-Anaya, Adriana; Jose Garcia-Corredor, Diego; Orlando Pulido-Medellin, Martin</t>
  </si>
  <si>
    <t>Serological determination of enzootic bovine leukosis virus (EBLV) in the municipality of Paipa, Boyaca (Colombia)</t>
  </si>
  <si>
    <t>REVISTA MEXICANA DE CIENCIAS PECUARIAS</t>
  </si>
  <si>
    <t>Bovine diseases; Leukosis; Seroprevalence; ELISA</t>
  </si>
  <si>
    <t>LEUKEMIA-VIRUS; INFECTION; SEROPREVALENCE; POPULATION; ANIMALS</t>
  </si>
  <si>
    <t>Enzootic Bovine Leukosis (EBL) is an economically important infection of dairy cattle, caused by the Enzootic Bovine Leukemia Virus (EBLV). The usual method of spread of EBLV infection is horizontal transmission, through direct and indirect exposure of susceptible animals to infected lymphocytes from blood or milk. After infection, animals appear to be clinically healthy during the first years after infection, but between 30 and 70 % of animals may develop persistent lymphocytosis and 0.1 to 10 % of cattle suffer from lymphosarcoma. This infection is detected by serological tests, usually by the enzyme-linked immunosorbent assay (ELISA). The objective of this research was to determine the seroprevalence of EBLV in bovine females from the municipality of Paipa (Boyaca). The epidemiological study was Descriptive Observational (Cross-sectional) with simple random sampling, where 1000 serum samples were collected, which were processed using the indirect ELISA technique implementing the commercial kit SERELISA (R) BLV Ab Mono Blocking. A seroprevalence of 31.1 % (311/1000) was determined, finding a statistically significant association between breed, age and seropositivity for the virus.</t>
  </si>
  <si>
    <t>[Jimenez Sanchez, Jorge Alejandro; Maria Bulla-Castaneda, Diana; Maria Diaz-Anaya, Adriana; Jose Garcia-Corredor, Diego; Orlando Pulido-Medellin, Martin] Univ Pedag &amp; Tecnol Colombia, Fac Ciencias Agr, Grp Invest Med Vet &amp; Zootecnia GIDIMEVETZ, Ave Cent Norte 39-115, Tunja, Boyaca, Colombia</t>
  </si>
  <si>
    <t>Pulido-Medellin, MO (corresponding author), Univ Pedag &amp; Tecnol Colombia, Fac Ciencias Agr, Grp Invest Med Vet &amp; Zootecnia GIDIMEVETZ, Ave Cent Norte 39-115, Tunja, Boyaca, Colombia.</t>
  </si>
  <si>
    <t>martin.pulido@uptc.edu.co</t>
  </si>
  <si>
    <t>Alcaldia Municipal P, 2019, DESCR PAIP BOYAC; Algorta-Turini A, 2014, THESIS U REPUBLICA; Alvira HC, 2019, THESIS U CAUCA; Andreolla AP, 2018, BRAZ J MICROBIOL, V49, P68, DOI 10.1016/j.bjm.2018.05.001; [Anonymous], 2013, CIENCIA AGRICULTURA, V10, P31, DOI [10.19053/01228420.2832, DOI 10.19053/01228420.2832]; Apaza J., 2019, THESIS U NACL ALTIPL; Baruta DA, 2011, CIENC VET, V13, P9; Benavides Benavides Bibiana, 2013, Rev. Lasallista Investig., V10, P18; Betancur C, 2008, REV MVZ CORDOBA, V13, P1197; Bonifaz N, 2015, GRANJA, V22, P33, DOI 10.17163/lgr.n22.2015.03; Buitrago-Mejia JA, 2018, SINERGIA, V3, P130; Cadavid G, 2012, THESIS U NACL COLOMB; Carrero-Rojas JL, 2009, SPEI DOMUS, V5, P6; Chamizo PEG, 2005, REV ELECT VET, V6, P1; Erskine RJ, 2012, J DAIRY SCI, V95, P727, DOI 10.3168/jds.2011-4760; Figueredo M, 2017, MANUAL VETERINARIO T; Grau MA, 2010, ARCH MED VET, V42, P87, DOI 10.4067/S0301-732X2010000200010; Gutierrez G, 2014, VIRUSES-BASEL, V6, P2416, DOI 10.3390/v6062416; Gutierrez G, 2011, VET MICROBIOL, V151, P255, DOI 10.1016/j.vetmic.2011.03.035; Hernandez D, 2016, ARCH ZOOTEC, V65, P365; Hernandez-Herrera D, 2011, ACTA AGRON, V60, P311; ICA, 2019, CENS PEC NAC AN 2019; ICA, 2015, RES 3714 2015 CUAL S; Lee E, 2016, INFECT GENET EVOL, V41, P245, DOI 10.1016/j.meegid.2016.04.010; Monge-Rojas C. R., 2019, Nutricion Animal Tropical, V13, P38, DOI 10.15517/nat.v13i1.37520; Monti GE, 2007, EPIDEMIOL INFECT, V135, P722, DOI 10.1017/S0950268806007357; Nekouei O, 2015, PREV VET MED, V119, P105, DOI 10.1016/j.prevetmed.2015.02.025; Orellana MA, 2019, THESIS U AMAZONIA; Orjuela J. NM, 2009, SALUD PRODUCTIVIDAD; Corredor-Figueroa AP, 2020, INFECT GENET EVOL, V80, DOI 10.1016/j.meegid.2020.104171; Polat M, 2017, VIROL J, V14, DOI 10.1186/s12985-017-0876-4; Pulido-Medellín Martín, 2017, Rev. Fac. Cienc. Vet., V58, P10; Radostits OM, 2006, VET MED E BOOK TXB D; Romero J. J., 2015, Agronomia Costarricense, V39, P7; Sandoval M Rocío, 2015, Rev. investig. vet. Perú, V26, P152, DOI 10.15381/rivep.v26i1.10919; Tsutsui T, 2016, PREV VET MED, V124, P96, DOI 10.1016/j.prevetmed.2015.11.019; Úsuga-Monroy C., 2018, Rev. Med. Vet. Zoot., V65, P130, DOI 10.15446/rfmvz.v65n2.75632; Usuga-Monroy C., 2015, Archivos de Zootecnia, V64, P383; Vasconez-Hernandez A, 2017, GRANJA, V26, P131, DOI 10.17163/lgr.n26.2017.11</t>
  </si>
  <si>
    <t>INIFAP-CENID PARASITOLOGIA VETERINARIA</t>
  </si>
  <si>
    <t>JIUTEPEC C P</t>
  </si>
  <si>
    <t>CARRETERA FEDERAL CUERNAVACA-CUAUTIA NO 8534, COL PROGRESSO, JIUTEPEC C P, 06300 D F, MEXICO</t>
  </si>
  <si>
    <t>2007-1124</t>
  </si>
  <si>
    <t>2448-6698</t>
  </si>
  <si>
    <t>REV MEX CIENC PECU</t>
  </si>
  <si>
    <t>Rev. Mex. Cienc. Pecu.</t>
  </si>
  <si>
    <t>JAN-MAR</t>
  </si>
  <si>
    <t>10.22319/rmcp.v13i1.5675</t>
  </si>
  <si>
    <t>2P8AF</t>
  </si>
  <si>
    <t>WOS:000819955900014</t>
  </si>
  <si>
    <t>Montenegro, IRM; Castaneda, AF</t>
  </si>
  <si>
    <t>Miranda Montenegro, Ivan Ricardo; Fajardo Castaneda, Alberto</t>
  </si>
  <si>
    <t>Bilingualism Policy: Discursive Reconfiguration of the Concept of Bilingual Nation and Citizen</t>
  </si>
  <si>
    <t>CUADERNOS DE LINGUISTICA HISPANICA</t>
  </si>
  <si>
    <t>bilingual nation; bilingualism policy; critical discourse analysis</t>
  </si>
  <si>
    <t>The article presents preliminary results in the discursive reconfiguration of the concepts of nation and citizen within the framework of a research study that explores social representations and identities based on the circulating discourses of the educational policy of bilingualism in Colombia. The postulates of the Critical Discourse Analysis (CDA) allow to undertake a conceptual and methodological approach from a corpus which incorporates sections from some editions of the Altablero newspaper and from documents related to the subject of bilingualism policy that have been published online by the Colombian Ministry of Education (MEN). The paper especially analyses textual fragments that promote a socio-cultural assimilation that is discursively represented in the conception of the bilingual nation as a legitimate aspiration and a cultural asset that requires bilingual citizens as a fundamental condition of belonging and acceptance both in the projected nation and in the global community.</t>
  </si>
  <si>
    <t>[Miranda Montenegro, Ivan Ricardo] Univ Pedag &amp; Tecnol Colombia, Inst Int Idiomas, Tunja, Colombia; [Fajardo Castaneda, Alberto] Univ Pedag &amp; Tecnol Colombia, Escuela Idiomas, Tunja, Colombia</t>
  </si>
  <si>
    <t>Montenegro, IRM (corresponding author), Univ Pedag &amp; Tecnol Colombia, Inst Int Idiomas, Tunja, Colombia.</t>
  </si>
  <si>
    <t>ivan.miranda@uptc.edu.co; albertofajardocas@hotmail.com</t>
  </si>
  <si>
    <t>[Anonymous], 2006, ESTANDARES BASICOS C; Arnoux E.N. de, 2015, POLITICA LINGUISTICA; Bourdieu Pierre, 1997, RAZONES PRACTICAS TE; Constitucion Politica de Colombia, 1991, TEXT CONST POL; Fairclough N., 1995, CRITICAL DISCOURSE A; Fernandez JM, 2005, CUAD TRAB SOC, V18, P7; Habermas J., 1989, THEORY COMMUNICATIVE; Ministerio de Educaci6n Cultura y Deporte, 2002, MARC COM EUR REF LE; Ministerio de Educaci6n Nacional -MEN, TERM CONV; Ministerio de Educacion Nacional -MEN, 2016, MOD IMPL PROGR FORM; Ministerio de Educacion Nacional -MEN, 2015, COL MEJ ED ED 2025; Ministerio de Educacion Nacional -MEN, 2014, COLOMBIA VERY WELL; Ministerio de Educacion Nacional -MEN, 2017, EXP SIGN PROGR FORM; Ministerio de Educacion Nacional -MEN, 2004, PROGR NACL BIL 2004; Ministerio de Educacion Nacional -MEN, 2013, PROGR FORT DES COMP; Ministerio de Educacion Nacional -MEN, 1999, ID EXTR LIN CURR; Ministerio de Educacion Nacional -MEN, 2005, DOC PER ALT; Moscovici S, 1979, PSICOANALISIS IMAGEN; Negri A., 2015, CONCEPTO ESTADO NACI; Pardo N, 2007, COMO HACER ANALISIS; Portillo J, 2001, THEMATA; Real Academia Espanola -RAE, 2019, NECESITAR; Sandoval R, 2016, ESCUELA CIUDADANIA S; Soler Castillo Sandra, 2011, Forma. func., V24, P75; Szul R, 2009, ECON SOC TERRIT, V9, P561; Trading Economics, 2020, GLOBAL COMPETITIVENE; Wodak Ruth, 2003, METODOS ANALISIS CRI</t>
  </si>
  <si>
    <t>0121-053X</t>
  </si>
  <si>
    <t>2346-1829</t>
  </si>
  <si>
    <t>CUAD LINGUIST HISP</t>
  </si>
  <si>
    <t>Cuad. Linguist. Hisp.</t>
  </si>
  <si>
    <t>e11739</t>
  </si>
  <si>
    <t>10.19053/0121053X.n39.2022.11739</t>
  </si>
  <si>
    <t>Linguistics</t>
  </si>
  <si>
    <t>ZC3UK</t>
  </si>
  <si>
    <t>WOS:000757448900002</t>
  </si>
  <si>
    <t>Rodriguez, A</t>
  </si>
  <si>
    <t>Rodriguez, Angela</t>
  </si>
  <si>
    <t>EFL Teachers' Gendered Identity Constructions in their Doings, Sayings, and Relatings</t>
  </si>
  <si>
    <t>COLOMBIAN APPLIED LINGUISTICS JOURNAL</t>
  </si>
  <si>
    <t>femininities; feminist poststructuralist discourse analysis; gender identities; femininities; masculinities; pedagogical practices; teaching practice architectures; doings; sayings; relatings</t>
  </si>
  <si>
    <t>MASCULINITY; DISCOURSE; CLASSROOM; LANGUAGE; POWER</t>
  </si>
  <si>
    <t>This article explores a feminist poststructuralist discourse analysis study carried out in a private University in Tunja, Boyaca, Colombia. This study intended to explore the relationship between two EFL university teachers' pedagogical practices and their gendered identity constructions. Said practices were framed in the practice architectures of doings, sayings and relatings proposed by Kemmis at al. Some classes of the aforementioned teachers were video recorded within a period of two months. Subsequently significant moments framed by the research inquiry were identified from the transcripts of the videoed classes and fragmented in excerpts that were examined using the feminist poststructuralist discourse analysis framework. It was revealed that the practice architectures of doings, sayings, and relatings were sites for and outcomes of teachers' gendered identity construction. Additionally, teachers' gendered sayings, doings, and relatings were interweaved, juxtaposed, complemented, and contrasted sites where teachers performed different masculinities and femininities based on their capacities to adapt, resist, contest, and oppose to heteronormative and patriarchal discourses such as gender roles and normative masculine and feminine features. Those gendered constructions were identified as having possible consequences upon students' English language leaning and gendered identity construction.</t>
  </si>
  <si>
    <t>[Rodriguez, Angela] Univ Pedag &amp; Tecnol Colombia, Int Language Inst, Tunja, Colombia</t>
  </si>
  <si>
    <t>Rodriguez, A (corresponding author), Univ Pedag &amp; Tecnol Colombia, Int Language Inst, Tunja, Colombia.</t>
  </si>
  <si>
    <t>angelamilena.rodriguez@uptc.edu.co</t>
  </si>
  <si>
    <t>Castaneda-Pena HA, 2010, MAGIS, V3, P107; Appleby R., 2014, MEN MASCULINITIES GL; Bakhtin M., 1981, DIALOGICAL IMAGINATI; Baxter J, 2003, POSITIONING GENDER IN DISCOURSE: A FEMINIST METHODOLOGY, P1, DOI 10.1057/9780230501263; Baxter J, 2002, GENDER EDUC, V14, P5, DOI 10.1080/09540250120098843; Buitrago CB, 2017, COLOMB APPL LINGUIST, V19, P11, DOI 10.14483/calj.v19n1.10641; Bird SR, 1996, GENDER SOC, V10, P120, DOI 10.1177/089124396010002002; BUTLER J, 1999, GENDER TROUBLE FEMIN, P3; Cambridge Dictionary, CAMBRIDGE DICT; Castaneda-Pena H, 2012, COLOMB APPL LINGUIST, V14, P9, DOI 10.14483/22487085.3810; CASTAÑEDA-PEÑA HAROLD, 2008, Signo pensam., V27, P314; Coates Jennifer., 2013, WOMEN MEN EVERYDAY T, DOI [10.1057/9781137314949, DOI 10.1057/9781137314949]; Coia L, 2014, GENDER FEMINISM QUEE; Connell RW, 2005, GENDER SOC, V19, P829, DOI 10.1177/0891243205278639; Duran NC, 2006, COLOMB APPL LINGUIST, V8, P123; Crawford M, 2003, J PRAGMATICS, V35, P1413, DOI 10.1016/S0378-2166(02)00183-2; Fausto-Sterling A, 2019, J SEX RES, V56, P529, DOI 10.1080/00224499.2019.1581883; FRANCIS B, 2001, SEX ED, V1, P9, DOI DOI 10.1080/14681810120041689; FRENCH J, 1984, EDUC RES, V26, P127, DOI 10.1080/0013188840260209; Haase M, 2008, BRIT J SOCIOL EDUC, V29, P597, DOI 10.1080/01425690802423270; Hatch J.Amos., 2002, DOING QUALITATIVE RE; Heritage J, 2005, LEA COMMUN SER, P103; Hruska BL, 2004, TESOL QUART, V38, P459, DOI 10.2307/3588349; Johansen T, 2017, THESIS ARTIC U NORWA; KELLY A, 1988, RES EDUC, P1; Kemmis S., 2014, CHANGING PRACTICES C; Kemmis S, 2012, ENVIRON EDUC RES, V18, P187, DOI 10.1080/13504622.2011.596929; Lewis S, 2015, HEALTH PROMOT PRACT, V16, P473, DOI 10.1177/1524839915580941; Litosseliti L, 2013, GENDER LANGUAGE THEO, V2nd, P47, DOI [10.4324/9780203784792, DOI 10.4324/9780203784792]; Mills Sara, 2003, 3 WAVE FEMINIST LING; Mojica CP, 2017, PROFILE-BOGOTA, V19, P139, DOI 10.15446/profile.v19n1.56209; Norton B, 2011, LANG TEACHING, V44, P412, DOI 10.1017/S0261444811000309; Paechter C, 2006, GENDER EDUC, V18, P253, DOI 10.1080/09540250600667785; Paechter C., 2007, BEING BOYS BEING GIR; Quintero-Polo A, 2006, PROFILE ISSUES TEACH, V7, P180; Ramezanzadeh A, 2016, QUAL RES J, V16, P181, DOI 10.1108/QRJ-03-2015-0018; ROBINSON KH, 1992, GENDER ED, V4, P273, DOI DOI 10.1080/0954025920040306; Cardenas FR, 2012, COLOMB APPL LINGUIST, V14, P77, DOI 10.14483/22487085.3814; Schippers M, 2007, THEOR SOC, V36, P85, DOI 10.1007/s11186-007-9022-4; Sunderland J, 2004, GENDERED DISCOURSES, P1, DOI 10.1057/9780230505582; Sunderland J., 1998, LANG TEACH RES, V2, P48, DOI [https://doi.org/10.1177/136216889800200104, DOI 10.1177/136216889800200104]; SUNDERLAND J, 2000, LANG TEACH RES, V4, P149, DOI DOI 10.1177/136216880000400204; Sunderland J., 1992, ELT J, V46, P81, DOI DOI 10.1093/ELT/46.1.81; Walsh S, 2011, ROUT INTROD APPL LIN, P1; Weedon C., 1996, FEMINIST PRACTICE PO; West C, 1987, GENDER SOC, V1, P125, DOI 10.1177/0891243287001002002; Rojas MX, 2012, COLOMB APPL LINGUIST, V14, P92, DOI 10.14483/22487085.3823</t>
  </si>
  <si>
    <t>UNIV DISTRITAL FRANCISCO JOSE DE CALDAS</t>
  </si>
  <si>
    <t>FAC CIENCIAS &amp; EDUC, AVDA CIUDAD QUITO NO 64 81 OF 704NIV DISTRITAL,, BOGOTA, 00000, COLOMBIA</t>
  </si>
  <si>
    <t>0123-4641</t>
  </si>
  <si>
    <t>2248-7085</t>
  </si>
  <si>
    <t>COLOMB APPL LINGUIST</t>
  </si>
  <si>
    <t>Colomb. Appl. Linguist. J.</t>
  </si>
  <si>
    <t>10.14483/22487085.17903</t>
  </si>
  <si>
    <t>1S8UT</t>
  </si>
  <si>
    <t>WOS:000804320200008</t>
  </si>
  <si>
    <t>Ruiz, DM; Pasquale, GA; Martinez, JJ; Romanelli, GP</t>
  </si>
  <si>
    <t>Ruiz, Diego M.; Pasquale, Gustavo A.; Martinez, Jose J.; Romanelli, Gustavo P.</t>
  </si>
  <si>
    <t>Advances in novel activation methods to perform green organic synthesis using recyclable heteropolyacid catalysis</t>
  </si>
  <si>
    <t>GREEN PROCESSING AND SYNTHESIS</t>
  </si>
  <si>
    <t>green chemistry; novel chemical activation methods; heteropolyacids; organic transformations</t>
  </si>
  <si>
    <t>ONE-POT SYNTHESIS; CRUDE JATROPHA OIL; ULTRASOUND-ASSISTED TRANSESTERIFICATION; LIQUID-PHASE OXIDATION; SOLVENT-FREE SYNTHESIS; ECO-FRIENDLY CATALYST; SELECTIVE OXIDATION; EFFICIENT CATALYST; HYDROGEN-PEROXIDE; PHOTOCATALYTIC OXIDATION</t>
  </si>
  <si>
    <t>Highly functionalized, high value added bioactive molecules are generally obtained by synthetic procedures that are highly selective, economical, with high atom economy, and environmentally friendly. Following these guidelines, the use of recoverable solid catalysts, nonpolluting substrates, or toxic organic solvent contributes greatly to these demands. In the last three decades, heteropolyacids (HPAs) and its derivatives have received great attention as recyclable solid catalysts, due to their strong Bronsted acidity, excellent oxidizing capacity under mild conditions, and various reuse cycles without appreciable loss of their catalytic activity. However, new activation methods should be investigated to improve the sustainability of a process using HPAs. In this review, we report the latest advances associated with the synthesis of potentially bioactive molecules using more energy efficient alternatives such as microwaves, ultrasound, mechanochemistry, and photochemistry to minimize the energy consumption associated with organic synthesis. The transformations studied include construction reaction, heterocycle synthesis, selective oxidation, and biomass recovery.</t>
  </si>
  <si>
    <t>[Ruiz, Diego M.; Pasquale, Gustavo A.; Romanelli, Gustavo P.] Univ Nacl La Plata, Fac Ciencias Agr &amp; Forestales, Catedra Quim Organ, CISAV, Calles 60 &amp; 119 S-N B1904AAN, La Plata, Argentina; [Romanelli, Gustavo P.] Univ Nacl La Plata, CINDECA CCT La Plata CONICET, Ctr Invest &amp; Desarrollo Ciencias Aplicadas Dr Jor, Calle 47 257,B1900AJK, La Plata, Argentina; [Martinez, Jose J.] Univ Pedag &amp; Tecnol Colombia UPTC, Fac Ciencias, Escuela Ciencias Quim, Ave Cent Norte,Via Paipa, Tunja, Boyaca, Colombia</t>
  </si>
  <si>
    <t>National University of La Plata; National University of La Plata; Universidad Pedagogica y Tecnologica de Colombia (UPTC)</t>
  </si>
  <si>
    <t>Romanelli, GP (corresponding author), Univ Nacl La Plata, Fac Ciencias Agr &amp; Forestales, Catedra Quim Organ, CISAV, Calles 60 &amp; 119 S-N B1904AAN, La Plata, Argentina.;Romanelli, GP (corresponding author), Univ Nacl La Plata, CINDECA CCT La Plata CONICET, Ctr Invest &amp; Desarrollo Ciencias Aplicadas Dr Jor, Calle 47 257,B1900AJK, La Plata, Argentina.</t>
  </si>
  <si>
    <t>romanelli@agro.unlp.edu.ar</t>
  </si>
  <si>
    <t>Martínez, José/0000-0002-4906-7121</t>
  </si>
  <si>
    <t>CONICET [PIP 0084]; Agencia Nacional de Promocion Cientifica y Tecnica ANPCyT [0157]; UNLP; Comision de Investigaciones Cientificas Provincia de Buenos Aires CICPBA</t>
  </si>
  <si>
    <t>CONICET(Consejo Nacional de Investigaciones Cientificas y Tecnicas (CONICET)); Agencia Nacional de Promocion Cientifica y Tecnica ANPCyT(ANPCyT); UNLP(National University of La Plata); Comision de Investigaciones Cientificas Provincia de Buenos Aires CICPBA</t>
  </si>
  <si>
    <t>This research work was supported by CONICET (PIP 0084), Agencia Nacional de Promocion Cientifica y Tecnica ANPCyT (0157), UNLP, and Comision de Investigaciones Cientificas Provincia de Buenos Aires CICPBA.</t>
  </si>
  <si>
    <t>Afzalinia A, 2017, ULTRASON SONOCHEM, V34, P713, DOI 10.1016/j.ultsonch.2016.07.006; Al HM, 2012, J CHEM SOC PAKISTAN, V34, P299; Almohalla M, 2018, CATAL TODAY, V301, P65, DOI 10.1016/j.cattod.2017.05.023; Amini MM, 2006, CATAL COMMUN, V7, P843, DOI 10.1016/j.catcom.2006.02.027; Anandan S, 2020, ULTRASON SONOCHEM, V67, DOI 10.1016/j.ultsonch.2020.105130; Annunziata F, 2020, INT J MOL SCI, V21, DOI 10.3390/ijms21134618; [Anonymous], GREEN CHEM THEORY PR; Asada C, 2020, WASTE BIOMASS VALORI, V11, P6139, DOI 10.1007/s12649-019-00847-y; Atanasov AG, 2021, NAT REV DRUG DISCOV, V20, P200, DOI 10.1038/s41573-020-00114-z; Avila-Ortiz CG, 2020, MOLECULES, V25, DOI 10.3390/molecules25163579; Azarifar D, 2014, J CHEM SCI, V126, P95, DOI 10.1007/s12039-013-0548-x; Azarifar D, 2014, J IRAN CHEM SOC, V11, P587, DOI 10.1007/s13738-013-0328-z; Badday AS, 2014, CHEM ENG PROCESS, V75, P31, DOI 10.1016/j.cep.2013.10.008; Badday AS, 2014, RENEW ENERG, V62, P10, DOI 10.1016/j.renene.2013.06.037; Badday AS, 2013, ENERGY, V60, P283, DOI 10.1016/j.energy.2013.08.002; Badday AS, 2013, APPL ENERG, V105, P380, DOI 10.1016/j.apenergy.2013.01.028; Balci M, 2020, TETRAHEDRON LETT, V61, DOI 10.1016/j.tetlet.2020.151994; Bamoharram FF, 2006, J BRAZIL CHEM SOC, V17, P505, DOI 10.1590/S0103-50532006000300011; Bamoharram FF, 2013, SYNTH REACT INORG M, V43, P125, DOI 10.1080/15533174.2012.680122; Bamoharram FF, 2011, SYNTH REACT INORG M, V41, P1221, DOI 10.1080/15533174.2011.591873; Bamoharram FF, 2011, CHINESE J CATAL, V32, P782, DOI 10.1016/S1872-2067(10)60219-7; Bamoharram FF, 2010, ASIAN J CHEM, V22, P4421; Bamoharram FF, 2009, SYNTH REACT INORG M, V39, P746, DOI 10.1080/15533170903433287; Bamoharram FF, 2009, SYNTH REACT INORG M, V39, P394, DOI 10.1080/15533170903129745; Banerjee B, 2017, J SERB CHEM SOC, V82, P755, DOI 10.2298/JSC170217057B; Banik BK, 2019, CURR MED CHEM, V26, P4492, DOI 10.2174/092986732624190927114808; Bennardi DO, 2011, APPL CATAL A-GEN, V404, P68, DOI 10.1016/j.apcata.2011.07.011; Bennardi DO, 2008, LETT ORG CHEM, V5, P607, DOI 10.2174/157017808786857570; Bennardi DO., 2015, CURR CATAL, V4, P65, DOI [10.2174/2211544704666150424234036, DOI 10.2174/2211544704666150424234036]; Bennini-Amroun L., 2020, CHEM DATA COLLECT, V28, DOI 10.1016/j.cdc.2020.100436; Bonchio M, 2005, ADV SYNTH CATAL, V347, P1909, DOI 10.1002/adsc.200505111; Bonchio M, 2006, J MOL CATAL A-CHEM, V251, P93, DOI 10.1016/j.molcata.2006.02.034; Borah R., 2013, CURR CHEM LETT, V2, P159, DOI [10.5267/j.ccl.2013.08.003, DOI 10.5267/J.CCL.2013.08.003]; Bose AK, 2004, TETRAHEDRON LETT, V45, P8351, DOI 10.1016/j.tetlet.2004.09.064; Bougheloum C, 2020, J HETEROCYCLIC CHEM, V57, P120, DOI 10.1002/jhet.3753; Bradley M, 2003, J AM CHEM SOC, V125, P525, DOI 10.1021/ja0268581; Bruckmann A, 2008, GREEN CHEM, V10, P1131, DOI 10.1039/b812536h; Buschow KHJ, 2001, ENCY MAT SCI TECHNOL; Cao XH, 2012, ADV MATER RES-SWITZ, V550-553, P170, DOI 10.4028/www.scientific.net/AMR.550-553.170; Carraro M, 2006, ORG LETT, V8, P3671, DOI 10.1021/ol061197o; Chafran LS, 2019, HELIYON, V5, DOI 10.1016/j.heliyon.2019.e01810; Chakrabarty M, 2007, TETRAHEDRON LETT, V48, P5239, DOI 10.1016/j.tetlet.2007.05.144; Chatel G, 2014, CHEM SOC REV, V43, P8132, DOI 10.1039/c4cs00193a; Chatel G, 2014, APPL CATAL A-GEN, V478, P157, DOI 10.1016/j.apcata.2014.03.033; Chaudhuri MK, 2006, J CHEM SCI, V118, P199, DOI 10.1007/BF02708474; Chavan LD, 2019, ORBITAL, V11, P314, DOI 10.17807/orbital.v11i5.1423; [陈平 Chen Ping], 2007, [石油化工, Petrochemical Technology], V36, P919; Chen X, 2013, ASIAN J CHEM, V25, P623, DOI 10.14233/ajchem.2013.11621; Colmenares JC, 2016, TOPICS CURR CHEM, V374, DOI 10.1007/s41061-016-0062-y; Cravotto G, 2015, CATAL COMMUN, V63, P2, DOI 10.1016/j.catcom.2014.12.014; Dadhania H, 2021, FUEL, V296, DOI 10.1016/j.fuel.2021.120673; Das PJ., 2013, GREEN SUSTAIN CHEM, V3, P6, DOI [10.4236/gsc.2013.34A002, DOI 10.4236/GSC.2013.34A002]; De Luca G, 2014, J PHYS CHEM B, V118, P2396, DOI 10.1021/jp411401v; Draye M., 2017, SONOCHEMISTRY BASIC, P29, DOI 10.1007/978-3-319-54271-3_2; Draye M, 2020, PHARMACEUTICALS-BASE, V13, DOI 10.3390/ph13020023; Du BY, 2020, RSC ADV, V10, P31479, DOI 10.1039/d0ra05069e; Duan XX, 2013, CATAL COMMUN, V42, P125, DOI 10.1016/j.catcom.2013.08.014; Dugos N., 2018, MATEC WEB C, V156, P03045, DOI [10.1051/matecconf/201815603045, DOI 10.1051/MATECCONF/201815603045]; Egusquiza MG, 2008, CATAL COMMUN, V9, P45, DOI 10.1016/j.catcom.2007.04.026; El Ashry ESH, 2006, ARKIVOC, P1, DOI 10.3998/ark.5550190.0007.901; Escobar AM, 2021, CATALYSTS, V11, DOI 10.3390/catal11020291; Fernandes SA, 2012, TETRAHEDRON LETT, V53, P1630, DOI 10.1016/j.tetlet.2012.01.078; Freitas EF, 2019, RSC ADV, V9, P27125, DOI 10.1039/c9ra03336j; Fu XZ, 2020, ULTRASON SONOCHEM, V60, DOI 10.1016/j.ultsonch.2019.104726; Galiano F, 2021, APPL MATER TODAY, V23, DOI 10.1016/j.apmt.2021.101002; Gao X, 2020, MOLECULES, V25, DOI 10.3390/molecules25071675; Garcia-Lopez EI, 2021, CATAL TODAY, V380, P209, DOI 10.1016/j.cattod.2021.01.015; Garcia-Lopez EI, 2017, EUR J INORG CHEM, P1900, DOI 10.1002/ejic.201601396; Garcia-Lopez EI, 2016, GREEN CHEM SUSTAIN T, P63, DOI 10.1007/978-3-662-48719-8_3; Gawande MB, 2014, CHEMSUSCHEM, V7, P24, DOI 10.1002/cssc.201300485; Ghalebi HR, 2016, J MOL CATAL A-CHEM, V415, P96, DOI 10.1016/j.molcata.2016.01.031; Gharib A., 2016, ORG MED CHEM INT J, V1, P29, DOI [10.19080/OMCIJ.2016.01.555554, DOI 10.19080/OMCIJ.2016.01.555554]; Gharib A., 2009, 13RD INT C SYNTHESIS; Gong CL, 1998, J ACOUST SOC AM, V104, P2675, DOI 10.1121/1.423851; Gupta M, 2009, ACTA CHIM SLOV, V56, P749; Hamidian, 2013, ORG CHEM INT, V2013, P502343, DOI [10.1155/2013/502343, DOI 10.1155/2013/502343]; Hedidi M, 2006, TETRAHEDRON, V62, P5652, DOI 10.1016/j.tet.2006.03.095; Heravi MM, 2009, J IRAN CHEM SOC, V6, P1, DOI 10.1007/BF03246501; Heravi MM, 2006, J MOL CATAL A-CHEM, V256, P238, DOI 10.1016/j.molcata.2006.04.016; Heravi MM, 2009, ULTRASON SONOCHEM, V16, P708, DOI 10.1016/j.ultsonch.2009.02.010; Hossain MN, 2019, CATALYSTS, V9, DOI 10.3390/catal9030229; Hsu CC, 2009, TETRAHEDRON, V65, P2824, DOI 10.1016/j.tet.2008.12.082; Hu YH., 2004, XIANDAI HUAGONGMODER, V24, P35; Idrissou Y, 2019, BULL CHEM REACT ENG, V14, P427, DOI 10.9767/bcrec.14.2.3054.427-435; Ighilahriz K, 2008, MOLECULES, V13, P779, DOI 10.3390/molecules13040779; Ighilahriz-Boubchir K, 2018, MOLECULES, V23, DOI 10.3390/molecules23010008; JANSEN RJJ, 1994, RECL TRAV CHIM PAY B, V113, P115; Javanshir S, 2014, J SAUDI CHEM SOC, V18, P502, DOI 10.1016/j.jscs.2011.10.013; Javid A, 2011, E-J CHEM, V8, P547, DOI 10.1155/2011/980546; Jetti, 2013, J CATAL, V2, P2013, DOI [10.1155/2013/392162, DOI 10.1155/2013/392162]; Jia XC, 2013, J CHEM-NY, V2013, DOI 10.1155/2013/634510; Kappe CO, 2000, ACCOUNTS CHEM RES, V33, P879, DOI 10.1021/ar000048h; Kaupp G, 2005, TOP CURR CHEM, V254, P95, DOI 10.1007/b100997; Kaur N, 2018, SYNTHETIC COMMUN, V48, P1715, DOI 10.1080/00397911.2018.1460671; Keri RS, 2009, CATAL LETT, V131, P552, DOI 10.1007/s10562-009-9966-2; Khaldi-Khellafi N, 2019, J MOL STRUCT, V1181, P261, DOI 10.1016/j.molstruc.2018.12.104; Khalifeh R, 2016, J BRAZIL CHEM SOC, V27, P759, DOI 10.5935/0103-5053.20150327; Kharissova OV, 2019, ROY SOC OPEN SCI, V6, DOI 10.1098/rsos.191378; Khoobi M, 2011, J IRAN CHEM SOC, V8, P1036, DOI 10.1007/BF03246560; Kokel A, 2017, GREEN CHEM, V19, P3729, DOI 10.1039/c7gc01393k; Kouznetsov VV, 2016, J BRAZIL CHEM SOC, V27, P2246, DOI 10.5935/0103-5053.20160117; Kumari K, 2017, CURR MED CHEM, V24, P4579, DOI 10.2174/0929867324666170529100929; Lambat TL, 2020, CURR ORG CHEM, V24, P2527, DOI 10.2174/1385272824999200622114919; Lancaster M, 2010, GREEN CHEM INTRO TEX; Levine LH, 2011, J AIR WASTE MANAGE, V61, P932, DOI 10.1080/10473289.2011.596746; Li JT, 2010, E-J CHEM, V7, P922, DOI 10.1155/2010/986980; Li ZF, 2021, ULTRASON SONOCHEM, V71, DOI 10.1016/j.ultsonch.2020.105384; Lin ZP, 2013, ASIAN J CHEM, V25, P6008, DOI 10.14233/ajchem.2013.14230; Liu J, 2014, J MOL CATAL A-CHEM, V393, P1, DOI 10.1016/j.molcata.2014.04.011; Liu LY, 2014, ULTRASON SONOCHEM, V21, P970, DOI 10.1016/j.ultsonch.2013.10.028; Liu MS, 2019, APPL CATAL B-ENVIRON, V249, P172, DOI 10.1016/j.apcatb.2019.02.071; [刘淑芝 Liu Shuzhi], 2012, [化学通报, Chemistry], V75, P239; Liu T, 2014, ASIAN J CHEM, V26, P2683, DOI 10.14233/ajchem.2014.15799; Liu XM, 2021, CARBOHYD POLYM, V258, DOI 10.1016/j.carbpol.2021.117652; Lu XH, 2021, J HAZARD MATER, V403, DOI 10.1016/j.jhazmat.2020.123915; Luo J, 2014, PROG ENERG COMBUST, V41, P56, DOI 10.1016/j.pecs.2013.11.001; Lupacchini M, 2017, TETRAHEDRON, V73, P609, DOI 10.1016/j.tet.2016.12.014; Luque R, 2016, CURR OPIN GREEN SUST, V2, P6, DOI 10.1016/j.cogsc.2016.09.004; Mahato AK, 2018, J INDIAN CHEM SOC, V95, P1327; Maleki B, 2016, RSC ADV, V6, P96644, DOI 10.1039/c6ra20895a; Mandal B, 2019, CHEMISTRYSELECT, V4, P8301, DOI 10.1002/slct.201901653; Marci G, 2017, CATAL TODAY, V281, P60, DOI 10.1016/j.cattod.2016.04.037; Marci G, 2014, EUR J INORG CHEM, V2014, P21, DOI 10.1002/ejic.201300883; Martin LL, 1997, BIOORG MED CHEM LETT, V7, P157, DOI 10.1016/S0960-894X(96)00592-6; Martin-Aranda Rosa Maria, 2010, Recent Patents on Chemical Engineering, V3, P82, DOI 10.2174/1874478811003020082; McKissic KS, 2014, GREEN CHEM, V16, P1628, DOI 10.1039/c3gc41496e; Michelin C, 2018, CURR OPIN GREEN SUST, V10, P40, DOI 10.1016/j.cogsc.2018.02.009; Misono M, 1997, KOREAN J CHEM ENG, V14, P427, DOI 10.1007/BF02706587; Moghadam M, 2011, CR CHIM, V14, P489, DOI 10.1016/j.crci.2010.10.006; Dastjerdi NM, 2020, GREEN CHEM LETT REV, V13, P28, DOI 10.1080/17518253.2020.1797183; Motamedi R., 2017, Q J IRAN CHEM COMMUN, V5, P237; Mozafari R, 2019, POLYHEDRON, V162, P263, DOI 10.1016/j.poly.2019.01.065; Naureen S, 2017, J CHIL CHEM SOC, V62, P3583, DOI 10.4067/s0717-97072017000303583; Nikoonahad A, 2018, PEERJ, V6, DOI 10.7717/peerj.5501; NOMIYA K, 1986, POLYHEDRON, V5, P1267, DOI 10.1016/S0277-5387(00)83470-1; Palacio M, 2009, APPL CATAL A-GEN, V359, P62, DOI 10.1016/j.apcata.2009.02.032; Palermo V, 2020, CURR OPIN GREEN SUST, V25, DOI 10.1016/j.cogsc.2020.100362; Palermo V, 2009, PHOSPHORUS SULFUR, V184, P3258, DOI 10.1080/10426500903299885; Palinko I., 2018, GREEN CHEM, P415; Patil MR, 2016, LETT ORG CHEM, V13, P474, DOI 10.2174/2212717803666160728170600; Patil P., 2013, ASIAN J RES CHEM, V6, P888, DOI DOI 10.5958/0974-4150; Portilla-Zuniga OM, 2018, SUSTAIN CHEM PHARM, V10, P50, DOI 10.1016/j.scp.2018.09.002; Priyanka M., 2019, RES J CHEM ENVIRON, V23, P103; Puri S, 2013, CURR ORG CHEM, V17, P1790, DOI 10.2174/13852728113179990018; Qasim HM, 2019, INORG CHEM, V58, P11300, DOI 10.1021/acs.inorgchem.9b01164; Quereshi S, 2019, IND ENG CHEM RES, V58, P16045, DOI 10.1021/acs.iecr.9b01659; Radhika NP, 2019, ARAB J CHEM, V12, P4550, DOI 10.1016/j.arabjc.2016.07.007; Rahimi S, 2015, CR CHIM, V18, P558, DOI 10.1016/j.crci.2014.10.005; Rahman MM, 2021, COMPR REV FOOD SCI F, V20, P1457, DOI 10.1111/1541-4337.12709; Ravichandran S., 2011, INT J CHEMTECH RES, V3, P466; Reischauer S, 2021, ISCIENCE, V24, DOI 10.1016/j.isci.2021.102209; Rezaei-Seresht E, 2011, IND ENG CHEM RES, V50, P1837, DOI 10.1021/ie101641t; Rezvani MA., 2014, CHEM SOLID MAT, V2, P41; Ribeiro LS, 2021, MATER TODAY SUSTAIN, V11-12, DOI 10.1016/j.mtsust.2020.100058; Roberts BA, 2005, ACCOUNTS CHEM RES, V38, P653, DOI 10.1021/ar040278m; Rodriguez B, 2007, ADV SYNTH CATAL, V349, P2213, DOI 10.1002/adsc.200700252; Rodriguez-Padrona D, 2021, ADV INORG CHEM, V77, P27, DOI 10.1016/bs.adioch.2020.12.003; Romanelli GP, 2005, SYNLETT, P75, DOI 10.1055/s-2004-837195; Romanelli GP, 2004, TETRAHEDRON LETT, V45, P8935, DOI 10.1016/j.tetlet.2004.09.183; Romanelli GP, 2009, MINI-REV ORG CHEM, V6, P359, DOI 10.2174/157019309789371578; Ruiz DM, 2016, CURR GREEN CHEM, V3, P242, DOI 10.2174/2213346104666170224101037; Sadjadi S, 2017, RES CHEM INTERMEDIAT, V43, P6701, DOI 10.1007/s11164-017-3016-2; Sadjadi S, 2017, RES CHEM INTERMEDIAT, V43, P2201, DOI 10.1007/s11164-016-2756-8; Salavati H, 2010, ULTRASON SONOCHEM, V17, P145, DOI 10.1016/j.ultsonch.2009.05.009; Salavati H, 2010, ULTRASON SONOCHEM, V17, P453, DOI 10.1016/j.ultsonch.2009.09.011; Samadizadeh M, 2013, ASIAN J CHEM, V25, P6619, DOI 10.14233/ajchem.2013.14390; Satasia SP, 2014, J MOL CATAL A-CHEM, V391, P41, DOI 10.1016/j.molcata.2014.04.005; Sathicq AG, 2008, TETRAHEDRON LETT, V49, P1441, DOI 10.1016/j.tetlet.2008.01.009; Sathishkumar P, 2016, RENEW SUST ENERG REV, V55, P426, DOI 10.1016/j.rser.2015.10.139; Sharif M, 2020, APPL SCI-BASEL, V10, DOI 10.3390/app10082815; Sharma A, 2020, CURR ORG CHEM, V24, P2555, DOI 10.2174/1385272824999200802025233; Sheldon R. A., 2007, GREEN CHEM CATALYSIS, DOI [10.1002/9783527611003, DOI 10.1002/9783527611003]; Sivaprasad G, 2006, TETRAHEDRON LETT, V47, P1783, DOI 10.1016/j.tetlet.2006.01.034; Song B., 2014, J CHEM PHARM RES, V6, P239; Srivastava SD, 2008, INDIAN J CHEM B, V47, P1583; Stefanidis G, 2016, RSC GREEN CHEM SER, P1, DOI 10.1039/9781782623632; Strauss CR, 2006, TOP CURR CHEM, V266, P199, DOI 10.1007/128_060; Taghavi M, 2018, J CLEAN PROD, V197, P1447, DOI 10.1016/j.jclepro.2018.06.280; Tayebee R, 2011, J KOREAN CHEM SOC, V55, P541, DOI 10.5012/jkcs.2011.55.3.541; Thangaraj B, 2019, CLEAN ENERGY-CHINA, V3, P2, DOI 10.1093/ce/zky020; Torok B., 2018, GREEN CHEM INCLUSIVE; Torviso R, 2008, APPL CATAL A-GEN, V339, P53, DOI 10.1016/j.apcata.2008.01.020; Tundo P, 2008, SYNLETT, P967, DOI 10.1055/s-2008-1072502; Tzani MA, 2020, NANOMATERIALS-BASEL, V10, DOI 10.3390/nano10122405; Vavsari VF, 2020, CHEM HETEROCYCL COM+, V56, P404, DOI 10.1007/s10593-020-02675-8; Veitia MSI, 2015, INT J ENERGY ENVIR E, V6, P37, DOI 10.1007/s40095-014-0148-7; Villabrille P, 2008, APPL CATAL A-GEN, V334, P374, DOI 10.1016/j.apcata.2007.10.025; Villabrille P, 2004, APPL CATAL A-GEN, V270, P101, DOI 10.1016/j.apcata.2004.04.028; Wang GW, 2013, CHEM SOC REV, V42, P7668, DOI 10.1039/c3cs35526h; Wang J, 2021, J WOOD SCI, V67, DOI 10.1186/s10086-021-01962-y; Wang R, 2020, NEW J CHEM, V44, P15467, DOI 10.1039/d0nj03368e; Wu LF, 2021, ENGINEERING-PRC, V7, P94, DOI 10.1016/j.eng.2020.07.025; Wu YJ, 2021, RENEW SUST ENERG REV, V136, DOI 10.1016/j.rser.2020.110442; Wu ZL, 2010, ULTRASON SONOCHEM, V17, P1027, DOI 10.1016/j.ultsonch.2009.11.005; Xiao ZQ, 2022, BIOMASS CONVERS BIOR, V12, P4105, DOI 10.1007/s13399-020-00950-4; Yan LQ, 2017, CHEM PAP, V71, P627, DOI 10.1007/s11696-016-0051-1; Yu GX, 2014, ADV MAT RES, V1033-1034, P85, DOI 10.4028/www.scientific.net/AMR.1033-1034.85; Yu X, 2019, NAT COMMUN, V10, DOI 10.1038/s41467-019-08525-2; Zhang XY, 2019, RENEW ENERG, V141, P802, DOI 10.1016/j.renene.2019.04.058; Zhang XY, 2018, CELLULOSE, V25, P6405, DOI 10.1007/s10570-018-2037-3; Zhang XY, 2018, ACS SUSTAIN CHEM ENG, V6, P165, DOI 10.1021/acssuschemeng.7b02042; Zhang YJ, 2019, BIORESOURCE TECHNOL, V288, DOI 10.1016/j.biortech.2019.121532; Zhao Y., 2013, PETROLEUM COAL, V55, P62; Ziarani GM, 2011, SCI IRAN, V18, P453, DOI 10.1016/j.scient.2011.05.008</t>
  </si>
  <si>
    <t>DE GRUYTER POLAND SP Z O O</t>
  </si>
  <si>
    <t>WARSAW</t>
  </si>
  <si>
    <t>BOGUMILA ZUGA 32A STR, 01-811 WARSAW, MAZOVIA, POLAND</t>
  </si>
  <si>
    <t>2191-9542</t>
  </si>
  <si>
    <t>2191-9550</t>
  </si>
  <si>
    <t>GREEN PROCESS SYNTH</t>
  </si>
  <si>
    <t>Green Process. Synth.</t>
  </si>
  <si>
    <t>AUG 16</t>
  </si>
  <si>
    <t>10.1515/gps-2022-0068</t>
  </si>
  <si>
    <t>3U3LY</t>
  </si>
  <si>
    <t>WOS:000840875600002</t>
  </si>
  <si>
    <t>Martinez-Ovalle, SA; Sajo-Bohus, L; Sajo-Castelli, AM</t>
  </si>
  <si>
    <t>Martinez-Ovalle, S. A.; Sajo-Bohus, L.; Sajo-Castelli, A. M.</t>
  </si>
  <si>
    <t>Linac W-nat target close-in geometry photoneutron study by nuclear track distribution function</t>
  </si>
  <si>
    <t>APPLIED RADIATION AND ISOTOPES</t>
  </si>
  <si>
    <t>Photoneutron; Close-in target geometry; Boron converter; PADC; Histogram unfolding; Radiotherapy</t>
  </si>
  <si>
    <t>NEUTRON; CR-39; DOSIMETRY</t>
  </si>
  <si>
    <t>During electron beam stopping on W-nat target in a linear accelerator, photonuclear (gamma, xn) reactions occur; the tungsten converter provides a non-negligible neutron yield with an energy spectrum that significantly depends on surrounding mass nuclei. Reduction of the neutron radiation field is convenient to limit the side-effects that accompany the tumor or cancer radiotherapy. A close-in irradiation geometry is proposed to improve therapy effectiveness. The convenience of the proposed experimental arrangement is assessed using Monte Carlo simu-lation and experimental results based on nuclear track-etch methodology. Photoneutron yield for two energy groups (thermal and epithermal) are determined experimentally via boron (98%) converter and cadmium-filter employing a passive detector (poly allyl diglicol carbonate polimer). Etched track diameter histograms are described by distribution functions to determine the ratio between thermal and higher energy neutrons. New insights are given into therapy beam quality and radiotherapy dose delivery based on bar histograms unfolding.</t>
  </si>
  <si>
    <t>[Martinez-Ovalle, S. A.] Univ Pedag &amp; Tecnol Colombia, Tunja 150003, Boyaca, Colombia; [Sajo-Bohus, L.] Univ Simon Bolivar, Baruta Ap Do 89000, YV-1080 Caracas A, Venezuela; [Sajo-Castelli, A. M.] Numer Algorithms Grp Ltd, 30 St Giles, Oxford OX1 3LE, England; [Martinez-Ovalle, S. A.] Ctr Cancerol Boyaca, Tunja 150003, Boyaca, Colombia</t>
  </si>
  <si>
    <t>Universidad Pedagogica y Tecnologica de Colombia (UPTC); Simon Bolivar University</t>
  </si>
  <si>
    <t>Martinez-Ovalle, SA (corresponding author), Univ Pedag &amp; Tecnol Colombia, Tunja 150003, Boyaca, Colombia.</t>
  </si>
  <si>
    <t>s.agustin.martinez@uptc.edu.co</t>
  </si>
  <si>
    <t>Martinez Ovalle, Segundo Agustin/0000-0003-3044-3008</t>
  </si>
  <si>
    <t>UPTC of Tunja, Colombia</t>
  </si>
  <si>
    <t>We would like to acknowledge Dra Maria Eugenia Morales who kindly supplied track analysis equipment and the Centro de Cancer-ologia de Boyaca which provided the LINAC irradiation facility. In particular, one of the authors (L. S-B) acknowledges the financial support provided during his visit by the UPTC of Tunja, Colombia.</t>
  </si>
  <si>
    <t>[Anonymous], 1984, NCRP60, V60; Boukerdja L, 2014, J RADIOANAL NUCL CH, V302, P1159, DOI 10.1007/s10967-014-3354-0; Castillo R., 2014, P SCI, V194, P1; Cavallaro S, 2015, REV SCI INSTRUM, V86, DOI 10.1063/1.4915502; Cinausero M, 2020, J NUCL PHYS MAT SCI, V7, P109; Durrani SA., 2013, SOLID STATE NUCL TRA; Espinosa G, 2015, AIP CONF PROC, V1671, DOI 10.1063/1.4927182; Jimenez JSE, 2017, COMPUT MATH METHOD M, V2017, DOI 10.1155/2017/3621631; Konefal A., 2011, RADIOISOTOPES APPL B, P127; Lima-Flores A, 2017, J NUCL PHYS MAT SCI, V5, P65; Lounis-Mokrani Z, 2008, RADIAT MEAS, V43, pS41, DOI 10.1016/j.radmeas.2008.04.081; Martinez-Ovalle SA, 2012, MED PHYS, V39, P2854, DOI 10.1118/1.4704527; Mauri G, 2018, J INSTRUM, V13, DOI 10.1088/1748-0221/13/03/P03004; Ovalle S.A., 2013, FRONT RADIAT ONCOL I, P91; Palfalvi JK, 2001, RADIAT MEAS, V34, P471, DOI 10.1016/S1350-4487(01)00209-8; Pelowitz D. B., 2005, LACP05E0369 LOS AL N; Sajo-Bohus L., 2011, RADIOISOTOPES APPL B, P173; Shende R, 2021, NUCL INSTRUM METH A, V1012, DOI 10.1016/j.nima.2021.165625; Thoennessen M., 2016, DISCOVERY ISOTOPES; Vega-Carrillo HR, 2012, APPL RADIAT ISOTOPES, V71, P75, DOI 10.1016/j.apradiso.2012.03.034; ZAMANI M, 1984, NUCL TRACKS RAD MEAS, V8, P183, DOI 10.1016/0735-245X(84)90084-X</t>
  </si>
  <si>
    <t>0969-8043</t>
  </si>
  <si>
    <t>1872-9800</t>
  </si>
  <si>
    <t>APPL RADIAT ISOTOPES</t>
  </si>
  <si>
    <t>Appl. Radiat. Isot.</t>
  </si>
  <si>
    <t>10.1016/j.apradiso.2022.110360</t>
  </si>
  <si>
    <t>Chemistry, Inorganic &amp; Nuclear; Nuclear Science &amp; Technology; Radiology, Nuclear Medicine &amp; Medical Imaging</t>
  </si>
  <si>
    <t>Chemistry; Nuclear Science &amp; Technology; Radiology, Nuclear Medicine &amp; Medical Imaging</t>
  </si>
  <si>
    <t>4Y1AU</t>
  </si>
  <si>
    <t>WOS:000861265900001</t>
  </si>
  <si>
    <t>Salamanca-Neita, LH; Carvajal, O; Carvajal, JP; Forero-Castro, M; Segura, NA</t>
  </si>
  <si>
    <t>Salamanca-Neita, Lorenzo H.; Carvajal, Oscar; Pablo Carvajal, Juan; Forero-Castro, Maribel; Alexandra Segura, Nidya</t>
  </si>
  <si>
    <t>Comparison of Four Real-Time Polymerase Chain Reaction Assays for the Detection of SARS-CoV-2 in Respiratory Samples from Tunja, Boyaci, Colombia</t>
  </si>
  <si>
    <t>TROPICAL MEDICINE AND INFECTIOUS DISEASE</t>
  </si>
  <si>
    <t>severe acute respiratory syndrome coronavirus 2 (SARS-CoV2); COVID-19; molecular diagnostics; real-time polymerase chain reaction (RT-qPCR)</t>
  </si>
  <si>
    <t>Coronavirus disease (COVID-19) is an infectious disease caused by SARS-CoV-2. In Colombia, many commercial methods are now available to perform the RT-qPCR assays, and laboratories must evaluate their diagnostic accuracy to ensure reliable results for patients suspected of being positive for COVID-19. The purpose of this study was to compare four commercial RT-qPCR assays with respect to their ability to detect the SARS-CoV2 virus from nasopharyngeal swab samples referred to Laboratorio Carvajal IPS, SAS in Tunja, Boyaca, Colombia. We utilized 152 respiratory tract samples (Nasopharyngeal Swabs) from patients suspected of having SARS-CoV-2. The diagnostic accuracy of GeneFinder (TM) COVID-19 Plus RealAmp (In Vitro Diagnostics) (GF-TM), One-Step Real-Time RT-PCR (Vitro Master Diagnostica) (O-S RT-qPCR), and the Berlin modified protocol (BM) were assessed using the gold-standard Berlin protocol (Berlin Charite Probe One-Step RT-qPCR Kit, New England Biolabs) (BR) as a reference. Operational characteristics were estimated in terms of sensitivity, specificity, agreement, and predictive values. Using the gold-standard BR as a reference, the sensitivity/specificity of the diagnostic tests was found to be 100%/92.7% for GF-TM, 92.75%/67.47% for O-S RT-qPCR, and 100%/96.39% for the BM protocol. Using BR as a reference, the sensitivity/specificity for the diagnostic tests were found to be 100%/92.7% for the GF-TM assay, 92.72%/67.47% for the O-S RT-qPCR, and 100%/96.39% for BM. Relative to the BR reference protocol, the GF-TM and BM RT-PCR assays obtained similar results (k = 0.92 and k = 0.96, respectively), whereas the results obtained by O-S-RT-qPCR were only moderately similar. We conclude that the GF-TM and BM protocols offer the best sensitivity and specificity, with similar results in comparison to the gold-standard BR protocol. We recommend evaluating the diagnostic accuracy of the OS-RT-qPCR protocol in future studies with a larger number of samples.</t>
  </si>
  <si>
    <t>[Salamanca-Neita, Lorenzo H.; Carvajal, Oscar; Pablo Carvajal, Juan] SAS, Lab Carvajal IPS, Tunja 150003, Colombia; [Salamanca-Neita, Lorenzo H.; Forero-Castro, Maribel; Alexandra Segura, Nidya] Univ Pedag &amp; Tecnol Colombia, Fac Ciencias, Grp Invest Ciencias Biomed, Tunja 150003, Colombia</t>
  </si>
  <si>
    <t>Salamanca-Neita, LH (corresponding author), SAS, Lab Carvajal IPS, Tunja 150003, Colombia.;Salamanca-Neita, LH; Segura, NA (corresponding author), Univ Pedag &amp; Tecnol Colombia, Fac Ciencias, Grp Invest Ciencias Biomed, Tunja 150003, Colombia.</t>
  </si>
  <si>
    <t>lhsalamanca@uniboyaca.edu.co; nidya.segura@uptc.edu.co</t>
  </si>
  <si>
    <t>segura, alexandra/J-2783-2016</t>
  </si>
  <si>
    <t>segura, alexandra/0000-0001-5810-4847</t>
  </si>
  <si>
    <t>Ministerio de Ciencia Tecnologia e Innovacion (Minciencias) [78326, BPIN: 2020000100102]</t>
  </si>
  <si>
    <t>Ministerio de Ciencia Tecnologia e Innovacion (Minciencias)</t>
  </si>
  <si>
    <t>This study was derived from the research study entitled: Fortalecimiento de capacidades instaladas de Ciencia y Tecnologia de Carvajal Laboratorios IPS SAS para atender problematicas asociadas con agentes biologicos de alto riesgo para la salud humana en el Departamento de Boyaca, funded by the Ministerio de Ciencia Tecnologia e Innovacion (Minciencias) (SIGP CODE: 78326; BPIN: 2020000100102).</t>
  </si>
  <si>
    <t>Castro A.L.L., 2015, MANUAL TOMA MUESTRAS, V2015; Corman VM, 2020, EUROSURVEILLANCE, V25, P23, DOI 10.2807/1560-7917.ES.2020.25.3.2000045; Dong LH, 2021, TALANTA, V224, DOI 10.1016/j.talanta.2020.121726; Eguchi H, 2017, CLIN MICROBIOL INFEC, V23, P907, DOI 10.1016/j.cmi.2017.05.009; Guo WJ, 2020, ANN PALLIAT MED, V9, P4246, DOI 10.21037/apm-20-568; Gwyn S, 2022, AM J TROP MED HYG, V107, P260, DOI 10.4269/ajtmh.22-0078; Kim HK, 2013, J CLIN MICROBIOL, V51, P1137, DOI 10.1128/JCM.02958-12; Kumar A, 2021, J MED VIROL, V93, P1343, DOI 10.1002/jmv.26615; Ling YZ, 2021, J MED VIROL, V93, P6486, DOI 10.1002/jmv.27203; Liu M, 2020, J VIROL METHODS, V286, DOI 10.1016/j.jviromet.2020.113974; Liu Q, 2021, INFECT DIS POVERTY, V10, DOI 10.1186/s40249-021-00915-3; McAuley J, 2021, VIROL J, V18, DOI 10.1186/s12985-021-01525-z; Pecoraro V, 2022, EUR J CLIN INVEST, V52, DOI 10.1111/eci.13706; Vogels CBF, 2020, NAT MICROBIOL, V5, P1299, DOI 10.1038/s41564-020-0761-6; Wang HY, 2021, J CLIN MICROBIOL, V59, DOI 10.1128/JCM.00926-21; Wang MY, 2020, FRONT CELL INFECT MI, V10, DOI 10.3389/fcimb.2020.587269; Wei ZH, 2019, BMC INFECT DIS, V19, DOI 10.1186/s12879-019-4273-z; Wu F, 2020, NATURE, V579, P265, DOI 10.1038/s41586-020-2008-3</t>
  </si>
  <si>
    <t>2414-6366</t>
  </si>
  <si>
    <t>TROP MED INFECT DIS</t>
  </si>
  <si>
    <t>Trop. Med. Infect. Dis.</t>
  </si>
  <si>
    <t>10.3390/tropicalmed7090240</t>
  </si>
  <si>
    <t>Infectious Diseases; Parasitology; Tropical Medicine</t>
  </si>
  <si>
    <t>4U5WJ</t>
  </si>
  <si>
    <t>Green Submitted, gold, Green Published</t>
  </si>
  <si>
    <t>WOS:000858863600001</t>
  </si>
  <si>
    <t>Martinez-Martin, AF; Otalora-Cascante, AR</t>
  </si>
  <si>
    <t>Fernando Martinez-Martin, Abel; Ricardo Otalora-Cascante, Andres</t>
  </si>
  <si>
    <t>The Celestial Republic. The hundredth anniversary of the Battle of Boyac'a in Tunja (1919)</t>
  </si>
  <si>
    <t>ANUARIO DE HISTORIA REGIONAL Y DE LAS FRONTERAS</t>
  </si>
  <si>
    <t>This article narrates the commemoration of the hundredth anniversary of the Battle of Boyac?? in the city of Tunja in 1919, Colombia. Boyac?????s capital was nearing the end of a decade of national celebrations and urban reforms in which parks, squares, avenues, and monuments honoring independence heroes sprouted up and were added to the city???s colonial landmarks. Despite budgetary difficulties and unfinished projects, archival sources evidence that the Conservative Government and the Catholic Church included in the urban scheme of Tunja the discourse of independence and its Hispanic tradition to give the image of a united nation, Catholic, at peace, and headed towards progress. The contradictions and problems of this celebration highlight the existence of fissures in the imagined community of this ???celestial republic???.</t>
  </si>
  <si>
    <t>[Fernando Martinez-Martin, Abel; Ricardo Otalora-Cascante, Andres] Univ Pedag &amp; Tecnol Colombia Tunja, Grp Hist Salud Boyaca UPTC, Tunja, Colombia</t>
  </si>
  <si>
    <t>Martinez-Martin, AF (corresponding author), Univ Pedag &amp; Tecnol Colombia Tunja, Grp Hist Salud Boyaca UPTC, Tunja, Colombia.</t>
  </si>
  <si>
    <t>Abel Cristopher, 1987, POLITICA IGLESIA PAR; Academia Nacional de Historia, 1919, CONTR I CENT BAT BOY; Academia Nacional de Medicina, 1919, REV MEDICA BOGOTA, V444, P321; Acuna Olga, 2012, 20 COLOQUIO HIST CAN, P556; [Anonymous], REPUBLICA COLOMBIA C; [Anonymous], 1918, REPERTORIO BOYACENSE, V50, P70; Asamblea de Boyaca, 1917, REPERTORIO BOYACENSE, V40, P195; Asamblea de Boyaca, 1917, REPERTORIO BOYACENSE, P205; Bermudez Jose, 2016, APUNTES, V19, P184; Bustos Guillermo, 2017, CULTO NACION ESCRITU; Celis Gregorio, 1922, INFORME RECTOR COLEG; Chirú Barrios Félix J., 2016, Diálogos rev. electr. hist, V17, P53, DOI 10.15517/dre.v17i2.21721; Cortazar R, 1934, SENDEROS, V7, P102; Cruz Abel, 1969, B CULTURAL BIBLIO, V12, P78; Cuellar Marcela, 2006, ITINERARIO OBRA COLO; Departamento de Boyaca, 1913, CENT IND PROV TUNJ; Diocesis de Tunja, 1910, SR OBISPO DIOCESIS T; Earle R, 2002, J LAT AM STUD, V34, P775, DOI 10.1017/S0022216X02006557; Garcia Samudio Nicolas, 1928, CULTURA, V21, P432; Granados Aimer, 2005, MEM SOC, V19, P5; Gutierrez Ramon, 2016, APUNTES, V19, P176; Gutierrez Vinuales R, 2003, HIST MEXICANA, V53, P341; Henao Jesus Maria, 1919, 1 CENTENARIO BATALLA; Jimenez Lopez Miguel, 1918, REV HIGIENE, V111, P24; Junta de Festejos del Centenario, 1920, CENT BOYAC 1819 1919; Junta del Centenario, 1918, JUNT CENT BAT BOYAC; Junta Departamental del Centenario de Policarpa Salavarrieta, 1917, REPERTORIO BOYACENSE, V45, P185; Junta Patriotica Municipal del Centenario de Padua, 1918, 1 CENT BOYAC 1819 19; Leon Javier, 2021, FIESTAS MEMORIA CELE; Martinez Abel, 2015, NUEVAS LECTURAS HIST, V34, P19; Martinez Maria Isabel, 2016, MAQUINAS RUEDAS BOGO; Martinez Martin Abel, 2016, DEGENERACION RAZA MA; Mejia German, 2020, PROCESOS, V51, P137; Mojica Alejandro, 2015, INSTRUCCION CIVICA M; Parga Jorge, 1919, GUIA COMERCIO TUNJA; Penuela Cayo Leonidas, 1919, ALBUM BOYACA, V1; Republica de Colombia-Congreso Nacional, 1919, HIJ LEAR CENT BOYAC; Republica de Colombia-Presidencia, CUAL SE DICT ALG DIS; Rodriguez Manuel, 2018, THESIS U LIBRE; Rojas Victor, 1999, CORONACION VIRGEN CH; Roman Raul, 2018, CELEBRACIONES CENTEN; Rubio Ozias, 1918, REPERTORIO BOYACENSE, V50, P75; Solano Abraham, 1907, PANTANO VARGAS; Vanegas Carolina, 2010, HIST GRITO DOSCIENTO, P104; Vanegas Carolina, 2011, DISPUTAS SIMBOLICAS</t>
  </si>
  <si>
    <t>0122-2066</t>
  </si>
  <si>
    <t>2145-8499</t>
  </si>
  <si>
    <t>ANU HIST REG FRONT</t>
  </si>
  <si>
    <t>Anu. Hist. Reg. Front.</t>
  </si>
  <si>
    <t>10.18273/revanu.v28n1-2023003</t>
  </si>
  <si>
    <t>8F3YQ</t>
  </si>
  <si>
    <t>WOS:000919602800003</t>
  </si>
  <si>
    <t>Montiel-Jarillo, G; Morales-Urrea, DA; Contreras, EM; Lopez-Cordoba, A; Gomez-Pachon, EY; Carrera, J; Suarez-Ojeda, ME</t>
  </si>
  <si>
    <t>Montiel-Jarillo, Gabriela; Morales-Urrea, Diego A.; Contreras, Edgardo M.; Lopez-Cordoba, Alex; Yesid Gomez-Pachon, Edwin; Carrera, Julian; Eugenia Suarez-Ojeda, Maria</t>
  </si>
  <si>
    <t>Improvement of the Polyhydroxyalkanoates Recovery from Mixed Microbial Cultures Using Sodium Hypochlorite Pre-Treatment Coupled with Solvent Extraction</t>
  </si>
  <si>
    <t>polyhydroxyalkanoates; mixed microbial cultures; extraction; sodium hypochlorite; dimethyl carbonate; chloroform</t>
  </si>
  <si>
    <t>CUPRIAVIDUS-NECATOR; NMR; POLY(3-HYDROXYBUTYRATE); MICROSTRUCTURE; IMPACT; SLUDGE; PHAS</t>
  </si>
  <si>
    <t>The use of mixed microbial cultures (MMC) and organic wastes and wastewaters as feed sources is considered an appealing approach to reduce the current polyhydroxyalkanoates (PHAs) production costs. However, this method entails an additional hurdle to the PHAs downstream processing (recovery and purification). In the current work, the effect of a sodium hypochlorite (NaClO) pre-treatment coupled with dimethyl carbonate (DMC) or chloroform (CF) as extraction solvents on the PHAs recovery efficiency (RE) from MMC was evaluated. MMC were harvested from a sequencing batch reactor (SBR) fed with a synthetic prefermented olive mill wastewaster. Two different carbon-sources (acetic acid and acetic/propionic acids) were employed during the batch accumulation of polyhydroxybutyrate (PHB) and poly(3-hydroxybutyrate-co-3-hydroxyvalerate) (PHBV) from MMC. Obtained PHAs were characterized by H-1 and C-13 nuclear magnetic resonance, gel-permeation chromatography, differential scanning calorimetry, and thermal gravimetric analysis. The results showed that when a NaClO pre-treatment is not added, the use of DMC allows to obtain higher RE of both biopolymers (PHB and PHBV), in comparison with CF. In contrast, the use of CF as extraction solvent required a pre-treatment step to improve the PHB and PHBV recovery. In all cases, RE values were higher for PHBV than for PHB.</t>
  </si>
  <si>
    <t>[Montiel-Jarillo, Gabriela; Carrera, Julian; Eugenia Suarez-Ojeda, Maria] Univ Autonoma Barcelona, GENOCOV Res Grp, Sch Engn, Escola Engn,Dept Chem Biol &amp; Environm Engn, Edifici Q Campus UAB, Barcelona 08193, Spain; [Morales-Urrea, Diego A.; Contreras, Edgardo M.] Inst Invest Ciencia &amp; Tecnol Mat INTEMA CONICET, Div Catalizadores &amp; Superficies, Av Colon 10850, RA-7600 Mar Del Plata, Argentina; [Lopez-Cordoba, Alex] Univ Pedag &amp; Tecnol Colombia, Fac Secc Duitama, Escuela Adm Empresas Agr, Grp Invest Bioecon &amp; Sostenibilidad Agroalimentar, Carrera 18 Calle 22, Duitama 150461, Colombia; [Yesid Gomez-Pachon, Edwin] Univ Pedag &amp; Tecnol Colombia UPTC, Escuela Diseno Ind, Innovac &amp; Asistencia Tecn Mat Avanzados DITMAV, Grp Invest Diseno, Duitama 150461, Colombia</t>
  </si>
  <si>
    <t>Autonomous University of Barcelona; Universidad Pedagogica y Tecnologica de Colombia (UPTC); Universidad Pedagogica y Tecnologica de Colombia (UPTC)</t>
  </si>
  <si>
    <t>Suarez-Ojeda, ME (corresponding author), Univ Autonoma Barcelona, GENOCOV Res Grp, Sch Engn, Escola Engn,Dept Chem Biol &amp; Environm Engn, Edifici Q Campus UAB, Barcelona 08193, Spain.;Morales-Urrea, DA (corresponding author), Inst Invest Ciencia &amp; Tecnol Mat INTEMA CONICET, Div Catalizadores &amp; Superficies, Av Colon 10850, RA-7600 Mar Del Plata, Argentina.</t>
  </si>
  <si>
    <t>dmoralesurrea@gmail.com; mariaeugenia.suarez@uab.cat</t>
  </si>
  <si>
    <t>Carrera, Julian/B-2581-2009; López-Córdoba, Alex/A-1368-2015; Suárez-Ojeda, María Eugenia/B-6247-2008</t>
  </si>
  <si>
    <t>Carrera, Julian/0000-0002-2599-2312; López-Córdoba, Alex/0000-0003-2434-5743; Suárez-Ojeda, María Eugenia/0000-0003-2520-2701; Contreras, Edgardo/0000-0003-0546-1095; Morales Urrea, Diego Alberto/0000-0001-7844-2798; Gomez-Pachon, Edwin Yesid/0000-0002-2733-5252</t>
  </si>
  <si>
    <t>Programa Iberoamericano de Ciencia y Tecnologia para el Desarrollo (CYTED) [316RT0508]; Minciencias, and the Gobernacion de Boyaca through the PATRIMONIO AUTONOMO FONDO NACIONAL DE FINANCIAMIENTO PARA LA CIENCIA, LA TECNOLOGIA Y LA INNOVACION FRANCISCO JOSE DE CALDAS [110986575000-Conv. 865-2019]; Consejo Nacional de Ciencia y Tecnologia de Mexico (CONACyT); Consejo Nacional de Investigaciones Cientificas y Tecnicas (CONICET) de Argentina</t>
  </si>
  <si>
    <t>Programa Iberoamericano de Ciencia y Tecnologia para el Desarrollo (CYTED); Minciencias, and the Gobernacion de Boyaca through the PATRIMONIO AUTONOMO FONDO NACIONAL DE FINANCIAMIENTO PARA LA CIENCIA, LA TECNOLOGIA Y LA INNOVACION FRANCISCO JOSE DE CALDAS; Consejo Nacional de Ciencia y Tecnologia de Mexico (CONACyT)(Consejo Nacional de Ciencia y Tecnologia (CONACyT)); Consejo Nacional de Investigaciones Cientificas y Tecnicas (CONICET) de Argentina(Consejo Nacional de Investigaciones Cientificas y Tecnicas (CONICET))</t>
  </si>
  <si>
    <t>This research was funded by: TRITON thematic network (316RT0508) from the Programa Iberoamericano de Ciencia y Tecnologia para el Desarrollo (CYTED); Minciencias, and the Gobernacion de Boyaca through the PATRIMONIO AUTONOMO FONDO NACIONAL DE FINANCIAMIENTO PARA LA CIENCIA, LA TECNOLOGIA Y LA INNOVACION FRANCISCO JOSE DE CALDAS (project 110986575000-Conv. 865-2019); Consejo Nacional de Ciencia y Tecnologia de Mexico (CONACyT) and Consejo Nacional de Investigaciones Cientificas y Tecnicas (CONICET) de Argentina.</t>
  </si>
  <si>
    <t>Abbasi Maryam, 2022, Bioresource Technology Reports, V18, DOI 10.1016/j.biteb.2022.101065; Adeleye AT, 2020, PROCESS BIOCHEM, V96, P174, DOI 10.1016/j.procbio.2020.05.032; Arcos-Hernandez MV, 2013, EUR POLYM J, V49, P904, DOI 10.1016/j.eurpolymj.2012.10.025; Bengtsson S, 2010, J BIOTECHNOL, V147, P172, DOI 10.1016/j.jbiotec.2010.03.022; Chavan S, 2021, BIORESOURCE TECHNOL, V341, DOI 10.1016/j.biortech.2021.125900; Colombo B, 2020, SEP PURIF TECHNOL, V253, DOI 10.1016/j.seppur.2020.117521; Colombo B, 2016, BIORESOURCE TECHNOL, V218, P692, DOI 10.1016/j.biortech.2016.07.024; Dai Y, 2008, J BIOTECHNOL, V134, P137, DOI 10.1016/j.jbiotec.2008.01.013; DOI Y, 1986, MACROMOLECULES, V19, P2860, DOI 10.1021/ma00165a033; Duque AF, 2014, NEW BIOTECHNOL, V31, P276, DOI 10.1016/j.nbt.2013.10.010; Elhami V, 2022, SEP PURIF TECHNOL, V299, DOI 10.1016/j.seppur.2022.121773; Fiorese ML, 2009, ENG LIFE SCI, V9, P454, DOI 10.1002/elsc.200900034; Gahlawat G, 2017, BIORESOURCE TECHNOL, V243, P492, DOI 10.1016/j.biortech.2017.06.139; Gholami A, 2016, MINERVA BIOTECNOL, V28, P59; Gobi K, 2015, BIORESOURCE TECHNOL, V189, P169, DOI 10.1016/j.biortech.2015.04.023; Irorere VU, 2014, INT J POLYM SCI, V2014, DOI 10.1155/2014/705359; Ivanova G, 2009, MAGN RESON CHEM, V47, P497, DOI 10.1002/mrc.2423; Kalia V.C., 2019, BIOTECHNOLOGICAL APP, P1; KAMIYA N, 1989, MACROMOLECULES, V22, P1676, DOI 10.1021/ma00194a030; Koller M, 2020, EUROBIOTECH J, V4, P113, DOI 10.2478/ebtj-2020-0013; Kurian NS, 2021, INT J BIOL MACROMOL, V183, P1881, DOI 10.1016/j.ijbiomac.2021.06.007; Laycock B, 2013, PROG POLYM SCI, V38, P536, DOI 10.1016/j.progpolymsci.2012.06.003; Liu ZG, 2011, J HAZARD MATER, V185, P8, DOI 10.1016/j.jhazmat.2010.08.003; Lopez-Abelairas M, 2015, BIOCHEM ENG J, V93, P250, DOI 10.1016/j.bej.2014.10.018; Lorini L, 2021, BIOMASS CONVERS BIOR, V11, P693, DOI 10.1007/s13399-020-00788-w; Madkour MH, 2013, BIOMACROMOLECULES, V14, P2963, DOI 10.1021/bm4010244; Mannina G, 2019, BIORESOURCE TECHNOL, V282, P361, DOI 10.1016/j.biortech.2019.03.037; Montano-Herrera Liliana, 2017, Bioengineering-Basel, V4, P20, DOI 10.3390/bioengineering4010020; Montiel-Jarillo G., 2022, J WATER PROCESS ENG; Montiel-Jarillo G, 2017, SCI TOTAL ENVIRON, V583, P300, DOI 10.1016/j.scitotenv.2017.01.069; Morgan-Sagastume F, 2010, WATER RES, V44, P5196, DOI 10.1016/j.watres.2010.06.043; Pagliano G, 2021, FRONT BIOENG BIOTECH, V9, DOI 10.3389/fbioe.2021.624021; Patel M, 2009, APPL MICROBIOL BIOT, V82, P545, DOI 10.1007/s00253-008-1836-0; Pederson EN, 2006, BIOMACROMOLECULES, V7, P1904, DOI 10.1021/bm0510101; Perez-Rivero C, 2019, BIOCHEM ENG J, V150, DOI 10.1016/j.bej.2019.107283; Reis GADS, 2020, WATER-SUI, V12, DOI 10.3390/w12041185; Rodrigues AM, 2022, POLYMERS-BASEL, V14, DOI 10.3390/polym14112155; Rosengart A, 2015, BIOCHEM ENG J, V103, P39, DOI 10.1016/j.bej.2015.06.013; Samaniego K, 2022, MATERIALS, V15, DOI 10.3390/ma15031226; Samori C, 2015, BIORESOURCE TECHNOL, V189, P195, DOI 10.1016/j.biortech.2015.03.062; Samori C, 2015, GREEN CHEM, V17, P1047, DOI 10.1039/c4gc01821d; Sindhu R, 2015, IND BIOREFINERIES WH, P575, DOI DOI 10.1016/B978-0-444-63453-5.00019-7; Woraittinun N, 2017, ENVIRON PROG SUSTAIN, V36, P1754, DOI 10.1002/ep.12645; Yabueng N, 2018, PROCESS BIOCHEM, V69, P197, DOI 10.1016/j.procbio.2018.02.025; Zagar E, 2006, BIOMACROMOLECULES, V7, P2210, DOI 10.1021/bm060201g</t>
  </si>
  <si>
    <t>10.3390/polym14193938</t>
  </si>
  <si>
    <t>5H8KO</t>
  </si>
  <si>
    <t>WOS:000867922100001</t>
  </si>
  <si>
    <t>Valderrama, NM; Varassin, IG; Passos, LS; Puentes, MEM</t>
  </si>
  <si>
    <t>Valderrama, Naisla Manrique; Varassin, Isabela Galarda; Passos, Luan Salles; Morales Puentes, Maria Eugenia</t>
  </si>
  <si>
    <t>First report on generalized pollination systems in Melastomataceae for the Andean paramos</t>
  </si>
  <si>
    <t>PLANT SPECIES BIOLOGY</t>
  </si>
  <si>
    <t>anther; buzz pollination; Colombia; Miconieae; pollen</t>
  </si>
  <si>
    <t>HIGH TEMPERATE ANDES; REPRODUCTIVE-BIOLOGY; BREEDING SYSTEMS; MICONIA MELASTOMATACEAE; DECIDUOUS FOREST; CENTRAL CHILE; EVOLUTION; COMMUNITY; ECOLOGY; VISITATION</t>
  </si>
  <si>
    <t>Melastomataceae is a megadiverse family with records of transitions from specialized to generalized pollination systems for several species. These transitions are associated with the colonization of new, unpredictable and/or impoverished pollinator habitats or habitats where specialized pollinators are scarce (e.g., in highland environments). The bee species diversity is low in highlands. Therefore, autonomous breeding systems such as apomixis and self-pollination emerge in these environments. In this paper, we studied the floral traits associated with the generalization of pollination systems and registered the floral visitors of two species in the Colombian Andes: Miconia cataractae and M. elaeoides. We investigated the breeding system of M. elaeoides. Both species presented small flowers, short anthers of medium pore size, and nectar-producing stomata on the base of the anthers. Miconia cataractae produced an average of 1.62 mu l nectar/flower, a sugar concentration of 6.78%, whereas M. elaeoides produced 0.09 mu l nectar/flower, a sugar concentration of 6.13%. We recorded a wide diversity of pollinators for both species, mainly insects from the orders Hymenoptera and Diptera. Miconia elaeoides presented a mixed breeding system and was also capable of setting fruits by apomixis. We conclude that flower and anther morphology, combined with nectar production, thus represent convergent traits resulting in a generalist pollination system shared by M. cataractae and M. elaeoides. Here, we presented the first generalist pollination system recorded for Miconia (and the Melastomataceae) in the Andes, the first report for a species from the small-pored section Amblyarrhena, and the first report for a species from the large-pored section Cremanium in Colombia.</t>
  </si>
  <si>
    <t>[Valderrama, Naisla Manrique] Univ Pedagog &amp; Tecnol Colombia, Ciencias Biol, Escuela Posgrad Ciencias, Tunja, Colombia; [Valderrama, Naisla Manrique; Morales Puentes, Maria Eugenia] Univ Pedagog &amp; Tecnol Colombia, Grp Sistemat Biol, Herbario UPTC, Tunja, Colombia; [Varassin, Isabela Galarda; Passos, Luan Salles] Univ Fed Parana, Ctr Politecn, Programa Posgrad Bot, Curitiba, Parana, Brazil; [Varassin, Isabela Galarda; Passos, Luan Salles] Univ Fed Parana, Ctr Politecn, Lab Interacoes &amp; Biol Reprod, Curitiba, Parana, Brazil</t>
  </si>
  <si>
    <t>Universidad Pedagogica y Tecnologica de Colombia (UPTC); Universidad Pedagogica y Tecnologica de Colombia (UPTC); Universidade Federal do Parana; Universidade Federal do Parana</t>
  </si>
  <si>
    <t>Valderrama, NM (corresponding author), Univ Pedag &amp; Tecnol Colombia, Herbario UPTC, Ave Cent Norte,39-115,Edificio Ctr Labs LS-109, Tunja, Boyaca, Colombia.</t>
  </si>
  <si>
    <t>naislamanrique@gmail.com</t>
  </si>
  <si>
    <t>Varassin, Isabela/0000-0001-9189-8765; Manrique Valderrama, Naisla/0000-0002-8925-8395; Morales Puentes, Maria Eugenia/0000-0002-5332-9956</t>
  </si>
  <si>
    <t>Brazilian Coordination for the Improvement of Higher Education Personnel [88882.382585/2019-01]; National Council for Scientific and Technological Development [313801/2017-7]</t>
  </si>
  <si>
    <t>Brazilian Coordination for the Improvement of Higher Education Personnel; National Council for Scientific and Technological Development(Conselho Nacional de Desenvolvimento Cientifico e Tecnologico (CNPQ))</t>
  </si>
  <si>
    <t>Brazilian Coordination for the Improvement of Higher Education Personnel, Grant/Award Number: 88882.382585/2019-01; National Council for Scientific and Technological Development, Grant/Award Number: 313801/2017-7</t>
  </si>
  <si>
    <t>Aigner PA, 2001, OIKOS, V95, P177, DOI 10.1034/j.1600-0706.2001.950121.x; Armbruster WS, 1998, NATURE, V394, P632, DOI 10.1038/29210; ARROYO MTK, 1982, AM J BOT, V69, P82, DOI 10.2307/2442833; ARROYO MTK, 1985, PLANT SYST EVOL, V149, P187, DOI 10.1007/BF00983305; Barrett SCH, 1996, PHILOS T R SOC B, V351, P725, DOI 10.1098/rstb.1996.0067; BAWA KS, 1974, EVOLUTION, V28, P85, DOI 10.1111/j.1558-5646.1974.tb00729.x; Bernal R., 2015, CAT LOGO PLANTAS LIQ; Brito VLG, 2016, PLANT BIOLOGY, V18, P585, DOI 10.1111/plb.12432; Brito VLG, 2012, PLANT SYST EVOL, V298, P1271, DOI 10.1007/s00606-012-0633-5; Buchmann S.L., 1983, BUZZ POLLINATION ANG; BULLOCK SH, 1985, BIOTROPICA, V17, P287, DOI 10.2307/2388591; Cadavid M., 2004, BIOL REPROD MICONIA; Cantillo Higuera Edgard Ernesto, 2009, Colomb. for., V12, P103; Castellanos MC, 2004, J EVOLUTION BIOL, V17, P876, DOI 10.1111/j.1420-9101.2004.00729.x; CRUDEN RW, 1977, EVOLUTION, V31, P32, DOI 10.1111/j.1558-5646.1977.tb00979.x; DAFNI A, 1992, POLLINATION ECOLOGY; Dafni A., 2005, PRACTICAL POLLINATIO; de Brito VLG, 2017, PLANT SYST EVOL, V303, P709, DOI 10.1007/s00606-017-1405-z; De Luca PA, 2013, CURR OPIN PLANT BIOL, V16, P429, DOI 10.1016/j.pbi.2013.05.002; Dellinger AS, 2021, NEW PHYTOL, V231, P864, DOI 10.1111/nph.17390; Dellinger AS, 2019, AM NAT, V194, P104, DOI 10.1086/703517; Dellinger AS, 2019, NEW PHYTOL, V221, P1136, DOI 10.1111/nph.15468; Fenster CB, 2004, ANNU REV ECOL EVOL S, V35, P375, DOI 10.1146/annurev.ecolsys.34.011802.132347; Franco AM, 2011, REV BRAS ENTOMOL, V55, P381, DOI [10.1590/S0085-56262011005000040, 10.1590/S0085-56262011000300011]; Goldenberg R, 1998, PLANT SYST EVOL, V211, P13, DOI 10.1007/BF00984909; Goldenberg Renato, 2001, Revista Brasileira de Botanica, V24, P283; Goldenberg R, 2008, INT J PLANT SCI, V169, P963, DOI 10.1086/589697; Goldenberg R, 2013, PHYTOTAXA, V106, P1, DOI 10.11646/phytotaxa.106.1.1; Gomez JM, 2006, PLANT-POLLINATOR INTERACTIONS: FROM SPECIALIZATION TO GENERALIZATION, P145; Henao C.M., 2019, DEPENDENCIA POLINIZ; Hokche D Omaira, 2008, Acta Bot. Venez., V31, P387; Holsinger KE, 2000, P NATL ACAD SCI USA, V97, P7037, DOI 10.1073/pnas.97.13.7037; INOUYE DW, 1980, ECOLOGY, V61, P1251, DOI 10.2307/1936841; Jaimes I, 1999, PLANT SYST EVOL, V215, P23, DOI 10.1007/BF00984645; Jarduin BotuYnico de BogotuY (JBB), PLATF NOMBR COM PLAN; King C, 2013, METHODS ECOL EVOL, V4, P811, DOI 10.1111/2041-210X.12074; Kriebel R, 2015, MOL PHYLOGENET EVOL, V82, P289, DOI 10.1016/j.ympev.2014.09.021; Kriebel R, 2014, BRITTONIA, V66, P396, DOI 10.1007/s12228-014-9337-1; Maia FR, 2016, PLANT BIOLOGY, V18, P132, DOI 10.1111/plb.12364; Malucelli TS, 2018, ACTA BOT BRAS, V32, P402, DOI 10.1590/0102-33062018abb0103; MARQUINEZ XAVIER, 2009, Acta biol.Colomb., V14, P47; Marten-Rodriguez S, 2010, NEW PHYTOL, V188, P403, DOI 10.1111/j.1469-8137.2010.03330.x; Mavarez Jesus, 2021, Harvard Papers in Botany, V26, P131, DOI 10.3100/hpib.v26iss1.2021.n9; Medina W, 2015, Ciencia en Desarrollo, V6, P185; Melo GF, 1999, REV BIOL TROP, V47, P359; Michelangeli FA, 2019, BRITTONIA, V71, P82, DOI 10.1007/s12228-018-9546-0; Milla dos Santos Ana Paula, 2010, Revista Brasileira de Botanica, V33, P333, DOI 10.1590/S0100-84042010000200014; Morales M., 2007, ATLAS P RAMOS COLOMB; Muchhala N, 2003, OECOLOGIA, V134, P373, DOI 10.1007/s00442-002-1132-0; Naudin, 1850, ANN SCI NAT BOT BIOL, V17, P82; Naudin C.V, 1851, ANN SCI NATURELLES 3, V15, P276; Oliveira PE, 2000, FLORA, V195, P311; Ollerton J, 2007, TAXON, V56, P717, DOI 10.2307/25065856; Pereira AC, 2011, FLORA, V206, P491, DOI 10.1016/j.flora.2011.01.004; Radford A.E., 1974, VASCULAR PLANT SYSTE; RAMIREZ N, 1990, AM J BOT, V77, P1260, DOI 10.2307/2444587; RAMIREZ N, 1994, PLANT SYST EVOL, V190, P129, DOI 10.1007/BF00986189; RENNER SS, 1989, ANN MO BOT GARD, V76, P496, DOI 10.2307/2399497; Stebbins GL., 1971, CHROMOSOMAL EVOLUTIO; STEIN BA, 1989, ANN MO BOT GARD, V76, P519, DOI 10.2307/2399498; THIEN LB, 1980, BIOTROPICA, V12, P1, DOI 10.2307/2387768; Torang P, 2017, EVOLUTION, V71, P2206, DOI 10.1111/evo.13308; Triana J.J., 1871, T LINNEAN SOC LONDON, V28, P1, DOI [10.1111/j.1096-3642.1871.tb00222.x, DOI 10.1111/J.1096-3642.1871.TB00222.X]; VANFLEET DS, 1952, BOT REV, V18, P354, DOI 10.1007/BF02957550; VARASSIN IG, 2021, ATLANTIC FOREST, P325, DOI DOI 10.1007/978-3-030-55322-7_15; Varassin IG, 2008, ANN BOT-LONDON, V102, P899, DOI 10.1093/aob/mcn180; Vogel S., 1978, The pollination of flowers by insects, P89; Waser NM, 1996, ECOLOGY, V77, P1043, DOI 10.2307/2265575; ZAPATA TR, 1978, BIOTROPICA, V10, P221, DOI 10.2307/2387907</t>
  </si>
  <si>
    <t>0913-557X</t>
  </si>
  <si>
    <t>1442-1984</t>
  </si>
  <si>
    <t>PLANT SPEC BIOL</t>
  </si>
  <si>
    <t>Plant Spec. Biol.</t>
  </si>
  <si>
    <t>10.1111/1442-1984.12364</t>
  </si>
  <si>
    <t>Plant Sciences; Ecology</t>
  </si>
  <si>
    <t>Plant Sciences; Environmental Sciences &amp; Ecology</t>
  </si>
  <si>
    <t>ZO8DD</t>
  </si>
  <si>
    <t>WOS:000742865300001</t>
  </si>
  <si>
    <t>Gomez-Neita, JS; Manosalva-Sanchez, SR; Nogueira, AAE; Naranjo-Merchan, WE; Nogueira, ACR</t>
  </si>
  <si>
    <t>Gomez-Neita, Juan Sebastian; Rocio Manosalva-Sanchez, Sandra; Evangelista Nogueira, Anna Andressa; Enario Naranjo-Merchan, Wilson; Rodrigues Nogueira, Afonso Cesar</t>
  </si>
  <si>
    <t>Pliocene-Pleistocene lacustrine system in the Eastern Cordillera Basin, Colombia: Paleoenvironmental implications for diatomite deposition</t>
  </si>
  <si>
    <t>SEDIMENTARY GEOLOGY</t>
  </si>
  <si>
    <t>Diatoms; Lacustrine; Facies; Quaternary; Tilata Formation; Aulacoseira</t>
  </si>
  <si>
    <t>PALYNOLOGICAL RECORD; BENTHIC DIATOMS; ORGANIC-MATTER; POLLEN RECORDS; NORTHERN ANDES; CLIMATE-CHANGE; LAKE; RIVERS; ASSEMBLAGES; QUATERNARY</t>
  </si>
  <si>
    <t>The Plio-Pleistocene Tilata Formation records a tectonic paleo-lake system in the Colombian Andes. This unit exhibits recurrent episodes of volcanism and diatomite deposits. Outcrop-based facies analysis of eight stratigraphic sections varying in thickness from 4 to 40 m indicates variations in the sediment supply, accommodation space, climatic conditions, water depth, and organic activity. Fourteen sedimentary facies are grouped into three facies associations (FAs) representative of alluvial, fluvial, and lacustrine settings. FA1 (alluvial fan deposits) corresponds to conglomerates, sandstones, and subordinated mudstones. FA2 (mixed fluvial system) represents sandy conglomerates, cross-bedded/massive sandstones, organic-rich mudstones, lignites, and diatomaceous mudstones. FA3 (lacustrine) comprises mainly organic-rich mudstones, diatomites, laminated sandstones, and tephra layers. The Upper Tilata Formation reflects the evolution of an overfilled to a balanced-fill lake with a progradational-retrogrational-progradational stacking pattern. The organic facies revealed variations in the origin of the Amorphous Organic Matter (AOM) from aquatic to terrestrial, indicating episodes of shallowing when terrestrial conditions dominated. Seven families, eight genera, and eleven diatom species were identified in diatomites and diatomaceous mudstones, mainly in the lacustrine facies. The most abundant species was Aulacoseira ambigua, suggesting moderate energy in the water column (turbulence), solar light availability for photosynthesis, and mesotrophic to eutrophic conditions. The sedimentological record implies that bedrock, fluvial, pluvial, and volcanic input played a decisive role in nutrient supply for the proliferation of diatoms in the paleo-lake. This scenario is concordant with similar Quaternary depositional systems in northern South America. (c) 2022 Elsevier B.V. All rights reserved.</t>
  </si>
  <si>
    <t>[Gomez-Neita, Juan Sebastian] Univ Fed Rio Grande do Sul, Inst Geociencias, Programa Posgrad Geociencias, Ave Bento Goncalves 9500, Porto Alegre, RS, Brazil; [Gomez-Neita, Juan Sebastian; Rocio Manosalva-Sanchez, Sandra; Enario Naranjo-Merchan, Wilson] Univ Pedag &amp; Tecnol Colombia, Grp Invest Ingn Geol, Escuela Ingn Geol, Fac Secc Sogamoso, Calle 4 Sur 15-134, Sogamoso, Boyaca, Colombia; [Gomez-Neita, Juan Sebastian; Evangelista Nogueira, Anna Andressa; Rodrigues Nogueira, Afonso Cesar] Univ Fed Para, Inst Geociencias, Programa Posgrad Geol &amp; Geoquim, Ave Augusto Correa 01, BR-66075110 Belem, Para, Brazil</t>
  </si>
  <si>
    <t>Universidade Federal do Rio Grande do Sul; Universidad Pedagogica y Tecnologica de Colombia (UPTC); Universidade Federal do Para</t>
  </si>
  <si>
    <t>Gomez-Neita, JS (corresponding author), Univ Fed Rio Grande do Sul, Inst Geociencias, Programa Posgrad Geociencias, Ave Bento Goncalves 9500, Porto Alegre, RS, Brazil.</t>
  </si>
  <si>
    <t>juan.gomezneita@uptc.edu.co; sandra.manosalva@uptc.edu.co; bioannanet@gmail.com; wilson.naranjo@uptc.edu.co; anogueira@ufpa.br</t>
  </si>
  <si>
    <t>UPTC; Programa de Pos-Graduacao em Geologia e Geoquimica (PPGG) of the UFPA</t>
  </si>
  <si>
    <t>We are very grateful to the Ingeominas, the Colombian Geological Survey, and the UPTC for the financial support through the bilateral project Cartografia y caracterizacion de diatomitas sector Tunja-Soraca-Oicata-Tuta, awarded to the second author. To the Programa de Pos-Graduacao em Geologia e Geoquimica (PPGG) of the UFPA and the Microanalysis Laboratory for the SEM images, to the Paleoflora Laboratory for the description of the organic facies.</t>
  </si>
  <si>
    <t>Abdulmonem H, 2019, QUATERN INT, V524, P24, DOI 10.1016/j.quaint.2019.03.024; Aboal M., 2003, FLORISTIC LIST NONMA; Adesalu T.A., 2017, IFE J SCI, V19, P269, DOI [10.4314/ijs.v19i2.7, DOI 10.4314/IJS.V19I2.7]; ALLES E, 1991, NOVA HEDWIGIA, V53, P171; [Anonymous], 2014, DIATOMACEAS EPILITIC; [Anonymous], 2013, BIOTA COLOMB; Bahls L, 2018, PHYTOKEYS, P33, DOI 10.3897/phytokeys.113.29456; Bahls L, 2018, PHYTOKEYS, P1, DOI 10.3897/phytokeys.105.23806; Bao R, 2015, QUATERNARY SCI REV, V129, P96, DOI 10.1016/j.quascirev.2015.09.019; Bayona G., 2010, GEOL COLOMB, V35, P5; Bayona Germán, 2018, Rev. acad. colomb. cienc. exact. fis. nat., V42, P364, DOI 10.18257/raccefyn.632; Rueda-Gutierrez JB, 2020, B GEOLOGIA, V42, P51, DOI 10.18273/revbol.v42n3-2020002; Bird BW, 2011, EARTH PLANET SC LETT, V310, P192, DOI 10.1016/j.epsl.2011.08.040; Boggs Jr S., 2006, PRINCIPLES SEDIMENTO; Bogota-A RG, 2011, QUATERNARY SCI REV, V30, P3321, DOI 10.1016/j.quascirev.2011.08.003; Brassac Nicole M., 2003, Braz. J. Bot., V26, P311, DOI 10.1590/S0100-84042003000300004; Campino L.F., 2007, B GEOLOGIA, V29; Cantonati M, 2011, J LIMNOL, V70, P209, DOI 10.4081/jlimnol.2011.209; Cardoso N., 2007, THESIS U FEDERAL RIO; Cardozo AYV, 2014, PALAEOGEOGR PALAEOCL, V415, P127, DOI 10.1016/j.palaeo.2014.03.013; Carroll AR, 1999, GEOLOGY, V27, P99, DOI 10.1130/0091-7613(1999)027&lt;0099:SCOALB&gt;2.3.CO;2; Cepeda H., 2004, VULCANISMO PAIPA PRO; Chepurnov VA, 2004, INT REV CYTOL, V237, P91; Combaz A., 1964, R MICROPALEONTOL, V7, P205; COOPER MA, 1995, AAPG BULL, V79, P1421; Costa Lívia F., 2017, Hoehnea, V44, P559, DOI 10.1590/2236-8906-12/2017; Cox E. J., 2015, SYLLABUS PLANT FAMIL, V2, P64, DOI DOI 10.1017/S0967026202003724; Culver SJ, 2016, PALAEOGEOGR PALAEOCL, V457, P360, DOI 10.1016/j.palaeo.2016.05.017; da Silva WJ, 2016, BIOTA NEOTROP, V16, DOI 10.1590/1676-0611-BN-2015-0028; Delgado C, 2012, ECOL INDIC, V15, P131, DOI 10.1016/j.ecolind.2011.09.037; DENGO CA, 1993, AAPG BULL, V77, P1315; dos Santos-Fischer CB, 2016, PALAEOGEOGR PALAEOCL, V446, P108, DOI 10.1016/j.palaeo.2016.01.018; Dunck Bárbara, 2018, Hoehnea, V45, P560, DOI 10.1590/2236-8906-03/2018; Ercegovac M, 2006, INT J COAL GEOL, V68, P70, DOI 10.1016/j.coal.2005.11.009; Faegri K., 1989, TEXBOOK POLLEN ANAL, V4th edn.; FOLLMI KB, 1992, PALAEOGEOGR PALAEOCL, V93, P151, DOI 10.1016/0031-0182(92)90095-M; Frydas D., 1999, REV DEMICROPALEONTOL, V42, P269, DOI [10.1016/S0035-1598(99)90040-5, DOI 10.1016/S0035-1598(99)90040-5]; Galloway W.E., 1983, TERRIGENOUS CLASTIC, P423; Gasse F., 1975, THESIS U PARIS 6 PAR; Guiry M., 2020, ALGAEBASE; Gunkel Guenter, 2000, Limnologica, V30, P113, DOI 10.1016/S0075-9511(00)80005-5; Gurel A, 2007, J ASIAN EARTH SCI, V30, P170, DOI 10.1016/j.jseaes.2006.07.015; Hall Roland I., 1999, P128; Hallfors Guy, 2004, Baltic Sea Environment Proceedings, V95, P1; Hooghiemstra H., 1984, VEGETATION CLIMATIC; Hubach E., 1957, B GEOLOGICO, V5, P93; Jaramillo D, 2017, PALAEOGEOGR PALAEOCL, V487, P194, DOI 10.1016/j.palaeo.2017.08.034; Johnson TC, 2011, PALAEOGEOGR PALAEOCL, V303, P103, DOI 10.1016/j.palaeo.2010.01.024; Jouse A.P., 1982, DEEP SEA DRILLING PR, DOI [10.2973/dsdp.proc.67.114.1982, DOI 10.2973/DSDP.PROC.67.114.1982]; Kostryukova Anastasiya M., 2018, Biodiversitas, V19, P1459, DOI 10.13057/biodiv/d190436; Krammer K., 2000, DIATOMS EUROPE, V1, P1, DOI [10.1023/A:1008914531485, DOI 10.1023/A:1008914531485]; Krstic S., 1997, USE ALGAE MONITORING, VRivers3, P145; Kryvosheia O.N., 2019, ALGOLOGIA, V29, P298, DOI [10.15407/alg29.03.298, DOI 10.15407/ALG29.03.298, DOI 10.15407/alg29.03.298]; Lange-Bertalot H., 2011, EUNOTIA SOME RELATED, V6; Lange-Bertalot Horst, 2001, P1; Lee SD, 2019, PHYTOTAXA, V403, P143, DOI 10.11646/phytotaxa.403.3.1; Leira M., 2009, ALGAS B SOC ESPANOLA, V42, P11; Leira M., 2017, EPILITHIC DIATOMS BA, V74, P2, DOI [10.3989/ajbm.2421, DOI 10.3989/AJBM.2421]; Levkov Z, 2005, NOVA HEDWIGIA, V81, P501, DOI 10.1127/0029-5035/2005/0081-0501; Levkov Z, 2007, ICONOGRAPHIA DIATOMO, V16; Liu Y, 2011, NOVA HEDWIGIA, V92, P205, DOI 10.1127/0029-5035/2011/0092-0205; Lopes RP, 2021, QUATERN INT, V598, P38, DOI 10.1016/j.quaint.2021.04.041; Manosalva S.R., 2010, ZONAS POTENCIALES DI; Manoylov KM, 2009, ACTA BOT CROAT, V68, P401; Medeiros G, 2018, BIOTA NEOTROP, V18, DOI 10.1590/1676-0611-BN-2017-0495; Menezes T.R., 2008, REV BRASIL GEOCI, V38, P80; Menicucci A.J., 2010, THESIS U NEVADA REN; Metzeltin D, 2003, DIATOMEAS URUGUAYAS; Metzeltin D., 1998, TROPICAL DIATOMS S A; Metzeltin D., 2007, TROPICAL DIATOMS S A; Miall A.D., 1981, SEDIMENTATION TECTON, V23, P1, DOI [10.1186/s42501-019-0044-4, DOI 10.1186/S42501-019-0044-4]; Miall AD, 1992, FACIES MODELS RESPON, P119; Miall AD, 1978, CANADIAN SOC PETROLE, V5, P597; Moita M.T., 1999, PORT ACTA BIOL, V18, P5; Monsalve M.L., 2011, B GEOLOGIA, V33; Montoya-Moreno Yimmy, 2011, Univ. Sci., V16, P70; Morales EA, 2005, PHYCOL RES, V53, P113, DOI 10.1111/j.1440-1835.2005.tb00363.x; Naranjo-Merchan W., 2007, GEOL COLOMB, V32, P77, DOI [10.15446/gc, DOI 10.15446/GC]; Nash D.J., 2007, GEOCHEMICAL SEDIMENT, P95, DOI DOI 10.1002/9780470712917.CH4; Nichols G., 2009, SEDIMENTOLOGY STRATI; Niyatbekov T., 2018, EUR SCI J, V14, P301, DOI [10.19044/esj.2018.v14n3p301, DOI 10.19044/ESJ.2018.V14N3P301, 10.19044/esj]; Novello A, 2015, PALAEOGEOGR PALAEOCL, V430, P85, DOI 10.1016/j.palaeo.2015.04.013; Ortiz-Lerin R., 2007, LIMNETICA, V26, P415; PARDO NATALIA, 2005, Earth Sci. Res. J., V9, P3; Pardo Villavece Natalia, 2005, Earth Sci. Res. J., V9, P148; Patrick R, 1966, MONOGR ACAD NATL SCI, V13, P1; Pavlov A., 2013, CONTRIBUTIONS SECTIO, V341, P33; Pavlov A, 2013, PHYTOTAXA, V86, P1, DOI 10.11646/phytotaxa.86.1.1; Petrou K, 2019, NAT CLIM CHANGE, V9, P781, DOI 10.1038/s41558-019-0557-y; Potapova M, 2003, FRESHWATER BIOL, V48, P1311, DOI 10.1046/j.1365-2427.2003.01080.x; Potapova M, 2007, ECOL INDIC, V7, P48, DOI 10.1016/j.ecolind.2005.10.001; Ramirez H.U., 2007, E GNOSIS, V5, P1; Renaut R. W., 2010, FACIES MODELS, V4, P541; Renzoni G., 1998, GEOLOGIA PLANCHA 191; Renzoni G., 1981, B GEOLOGICO, V24, P31; Retallack G.J., 1988, GEOLOGICAL SOC AM, DOI DOI 10.1130/SPE216-P1; Rojas-Martinez E.E., 2013, RESPUESTAS, V18, P68, DOI [10.22463/0122820X, DOI 10.22463/0122820X]; ROUND FE, 1990, DIATOMS BIOL MORPHOL; Rull V, 1998, REV PALAEOBOT PALYNO, V99, P95, DOI 10.1016/S0034-6667(97)00043-2; Sala Silvia Estela, 2002, Acta Amazonica, V32, P589; Sala Silvia Estela, 1999, Caldasia, V21, P26; Sandoval J., 1953, B GEOLOGICO, V1, P33; Santos S.M.D, 2017, ANALISE TAXONOMICA D; SARMIENTO G., 1992, B GEOLOGICO INGEOMIN, V32, P3; Sarmiento G, 2008, GEOMORPHOLOGY, V100, P563, DOI 10.1016/j.geomorph.2008.02.006; Schumm S.A., 1981, SOC EC PALEONTOLOGIS, V31, P19; Scopelliti G, 2013, GLOBAL PLANET CHANGE, V102, P20, DOI 10.1016/j.gloplacha.2013.01.001; Sebag D, 2006, INT J COAL GEOL, V67, P1, DOI 10.1016/j.coal.2005.08.002; Sebag D, 2006, EARTH-SCI REV, V79, P241, DOI 10.1016/j.earscirev.2006.07.005; Selva S., 1976, THESIS IOWA STATE U; Sherwood Alison R., 2004, Bishop Museum Occasional Papers, V80, P1; Smol J.P, 2008, POLLUTION LAKES RIVE; Stoermer EF, 1999, J GREAT LAKES RES, V25, P515, DOI 10.1016/S0380-1330(99)70759-8; Taliaferro N.L., 1933, RELATION VOLCANISM D; Tolomio C, 2002, DIATOM RES, V17, P401; Toro G., 2003, COLOMBIA PAISAJES FI, V26, P49; Tyson RV, 1995, SEDIMENTARY ORGANIC, DOI DOI 10.1007/978-94-011-0739-6; Van der Hammen T., 1958, B GEOLOGIA, V2; Van der Hammen T., 1994, QUATERN INT, V21, P41, DOI [10.1016/1040-6182(94)90020-5, DOI 10.1016/1040-6182(94)90020-5]; VANDERHAMMEN T, 1973, REV PALAEOBOT PALYNO, V16, P1, DOI 10.1016/0034-6667(73)90031-6; Velez MI, 2013, J PALEOLIMNOL, V49, P591, DOI 10.1007/s10933-012-9663-9; Velez MI, 2005, DIATOM RES, V20, P387; Vouilloud AA, 2010, REV BIOL TROP, V58, P45; Wang Liang-Chi, 2010, Taiwania, V55, P228; Wang W.L., 2000, CHECKLIST FRESHWATER; Wanner H, 2008, QUATERNARY SCI REV, V27, P1791, DOI 10.1016/j.quascirev.2008.06.013; Watanabe T., 2005, PICTURE BOOK ECOLOGY; Weide DM, 2015, DIATOM RES, V30, P263, DOI 10.1080/0269249X.2015.1074114; Westover KS, 2021, PALAEOGEOGR PALAEOCL, V570, DOI 10.1016/j.palaeo.2019.109382; Wijninga VM, 1996, REV PALAEOBOT PALYNO, V92, P329, DOI 10.1016/0034-6667(95)00102-6; WIJNINGA VM, 1993, REV PALAEOBOT PALYNO, V78, P69, DOI 10.1016/0034-6667(93)90018-P; Wu Jiunn-Tzong, 2009, Taiwania, V54, P231; Zhang KY, 2008, ENTOMOL SCI, V11, P269, DOI 10.1111/j.1479-8298.2008.00271.x; Zong YQ, 2004, DIATOM RES, V19, P329</t>
  </si>
  <si>
    <t>0037-0738</t>
  </si>
  <si>
    <t>1879-0968</t>
  </si>
  <si>
    <t>SEDIMENT GEOL</t>
  </si>
  <si>
    <t>Sediment. Geol.</t>
  </si>
  <si>
    <t>10.1016/j.sedgeo.2022.106274</t>
  </si>
  <si>
    <t>OCT 2022</t>
  </si>
  <si>
    <t>7X4DQ</t>
  </si>
  <si>
    <t>WOS:000914151000005</t>
  </si>
  <si>
    <t>Ghias, M; Ahmed, MN; Sajjad, B; Ibrahim, MAA; Rashid, U; Shah, SWA; Shoaib, M; Madni, M; Tahir, MN; Macias, MA</t>
  </si>
  <si>
    <t>Ghias, Mehreen; Ahmed, Muhammad Naeem; Sajjad, Bakhtawar; Ibrahim, Mahmoud A. A.; Rashid, Umer; Shah, Syed Wadood Ali; Shoaib, Mohammad; Madni, Murtaza; Tahir, Muhammad Nawaz; Macias, Mario A.</t>
  </si>
  <si>
    <t>1-Hydroxynaphthalene-4-trifluoromethylphenyl chalcone and 3-hydroxy-4-trifluoromethylphenyl flavone: A combined experimental, structural, in vitro AChE, BChE and in silico studies</t>
  </si>
  <si>
    <t>Flavone; Chalcone; AChe; BChe; Hirshfeld surface maps; Molecular packing; Structural energy</t>
  </si>
  <si>
    <t>CARBONIC-ANHYDRASE; ANTICHOLINERGIC PROPERTIES; MODEL ENERGIES; ACETYLCHOLINESTERASE; BUTYRYLCHOLINESTERASE; IDENTIFICATION; ANTIOXIDANT; DERIVATIVES; SYSTEM</t>
  </si>
  <si>
    <t>The synthesis, X-ray characterization, in vitro AChE, BChE and in silico studies of (E)-1-(1-hydroxynaphthalen-2-yl)-3-(4-(trifluoromethyl)phenyl)prop-2-en-1-one (1) and 3-hydroxy-2-(4(trifluoromethyl)phenyl)-4H-chromen-4-one (2) are reported in this manuscript. Both compounds are obtained in good yield (64-70%). The crystal structures of 1, and 2 are affected by the strength of intramolecular O-H center dot center dot center dot O hydrogen bonds altering the proportion of electrostatic and dispersion forces participating in the solid. Moderate to good activities against AChE and BChE were shown by the target compounds in comparison to reference drug galantamine. Molecular modeling studies via docking simulations indicated that compounds showed binding to the catalytic active site and mid-gorge residues of acetylcholinesterase. (c) 2021 Elsevier B.V. All rights reserved.</t>
  </si>
  <si>
    <t>[Ghias, Mehreen; Shah, Syed Wadood Ali; Shoaib, Mohammad] Univ Malakand, Dept Pharm, Dir Lower, Khyber Pakhtunk, Pakistan; [Ahmed, Muhammad Naeem; Sajjad, Bakhtawar] Univ Azaz Jammu &amp; Kashmir, Dept Chem, Muzaffarabad 13100, Pakistan; [Ibrahim, Mahmoud A. A.] Minia Univ, Fac Sci, Chem Dept, Computat Chem Lab, Al Minya 61519, Egypt; [Rashid, Umer] COMSATS Univ Islamabad, Dept Chem, Abbottabad Campus, Abbottabad 22060, Pakistan; [Madni, Murtaza] Quaid I Azam Univ, Dept Chem, Islamabad, Pakistan; [Tahir, Muhammad Nawaz] Univ Sargodha, Dept Phys, Sargodha, Pakistan; [Macias, Mario A.] Univ los Andes, Dept Chem, CrisQuimMat, Crystallog &amp; Chem Mat, Carrera 1 18A 10, Bogota 111711, Colombia</t>
  </si>
  <si>
    <t>University of Malakand; Egyptian Knowledge Bank (EKB); Minia University; COMSATS University Islamabad (CUI); Quaid I Azam University; University of Sargodha; Universidad de los Andes (Colombia)</t>
  </si>
  <si>
    <t>Macias, MA (corresponding author), Univ los Andes, Dept Chem, CrisQuimMat, Crystallog &amp; Chem Mat, Carrera 1 18A 10, Bogota 111711, Colombia.</t>
  </si>
  <si>
    <t>drnaeem@ajku.edu.pk; ma.maciasl@uniandes.edu.co</t>
  </si>
  <si>
    <t>Rashid, Umer/AGW-1380-2022; Ibrahim, Mahmoud A. A./J-2936-2014; Tahir, Muhammad Nawaz/HPB-5726-2023; Macías, Mario Alberto/W-9716-2019</t>
  </si>
  <si>
    <t>Rashid, Umer/0000-0002-2419-3172; Ibrahim, Mahmoud A. A./0000-0003-4819-2040; Tahir, Muhammad Nawaz/0000-0002-6815-9806; Macías, Mario Alberto/0000-0003-2749-8489</t>
  </si>
  <si>
    <t>University of Malakand; UAJK Muzaffarabad; Departamento de Quimica and Facultad de Ciencias at the Universidad de los Andes, Colombia [FAPAP18.160422.043]</t>
  </si>
  <si>
    <t>University of Malakand; UAJK Muzaffarabad; Departamento de Quimica and Facultad de Ciencias at the Universidad de los Andes, Colombia</t>
  </si>
  <si>
    <t>M.G and M.N.A. are thankful to the University of Malakand and UAJ&amp;K Muzaffarabad for financial support, similarly thanks to the University of Sargodha Pakistan for XRD studies. M.A.M. thanks the support from the Departamento de Quimica and Facultad de Ciencias at the Universidad de los Andes, Colombia, (project FAPAP18.160422.043). M.A.M. also thanks Professor Juan Carlos Castillo from Universidad Pedagogica y Tecnologica de Colombia for his invaluable support and scientific discussion.</t>
  </si>
  <si>
    <t>Ahmed MN, 2021, J MOL STRUCT, V1232, DOI 10.1016/j.molstruc.2021.130030; Ahmed MN, 2021, CRYSTENGCOMM, V23, P955, DOI 10.1039/d0ce01402h; Ahmed MN, 2019, NEW J CHEM, V43, P8122, DOI 10.1039/c9nj00405j; Aksu K, 2018, ARCH PHARM, V351, DOI 10.1002/ardp.201800150; Al-Anazi M, 2018, MOLECULES, V23, DOI 10.3390/molecules23123203; Allgaier M, 2014, FRONT BIOSCI-LANDMRK, V19, P1344; Aponte JC, 2010, BIOORG MED CHEM LETT, V20, P100, DOI 10.1016/j.bmcl.2009.11.033; Ashraf J, 2021, J BIOMOL STRUCT DYN, V39, P7107, DOI 10.1080/07391102.2020.1805364; Atmaca U, 2018, J BIOCHEM MOL TOXIC, V32, DOI 10.1002/jbt.22173; BECKE AD, 1993, J CHEM PHYS, V98, P5648, DOI 10.1063/1.464913; Bibi M, 2021, EUR J MED CHEM, V210, DOI 10.1016/j.ejmech.2020.112986; Braga D, 2005, CRYSTENGCOMM, V7, P1, DOI 10.1039/b417413e; Burmaoglu S, 2019, BIOORG CHEM, V85, P191, DOI 10.1016/j.bioorg.2018.12.035; Desiraju G. R., 2001, WEAK HYDROGEN BOND S; ELLMAN GL, 1961, BIOCHEM PHARMACOL, V7, P88, DOI 10.1016/0006-2952(61)90145-9; Farhadi F, 2019, PHYTOTHER RES, V33, P13, DOI 10.1002/ptr.6208; Gocer H, 2016, J ENZYM INHIB MED CH, V31, P441, DOI 10.3109/14756366.2015.1036051; Grabowski SJ, 2006, CHALL ADV COMPUT CHE, V3, P1, DOI 10.1007/978-1-4020-4853-1; Gulcin I, 2016, J ENZYM INHIB MED CH, V31, P1698, DOI 10.3109/14756366.2015.1135914; Isik M, 2017, BIOMED PHARMACOTHER, V87, P561, DOI 10.1016/j.biopha.2017.01.003; Jan MS, 2020, EUR J MED CHEM, V186, DOI 10.1016/j.ejmech.2019.111863; Jayatilaka D, 2003, LECT NOTES COMPUT SC, V2660, P142; Kose LP, 2015, IND CROP PROD, V74, P712, DOI 10.1016/j.indcrop.2015.05.034; Kumar D, 2014, BIOORG MED CHEM LETT, V24, P5170, DOI 10.1016/j.bmcl.2014.09.085; Kumar D, 2010, BIOORG MED CHEM LETT, V20, P3916, DOI 10.1016/j.bmcl.2010.05.016; LEE CT, 1988, PHYS REV B, V37, P785, DOI 10.1103/PhysRevB.37.785; Lin YM, 2002, BIOORGAN MED CHEM, V10, P2795, DOI 10.1016/S0968-0896(02)00094-9; Mackenzie CF, 2017, IUCRJ, V4, P575, DOI 10.1107/S205225251700848X; Macrae CF, 2008, J APPL CRYSTALLOGR, V41, P466, DOI 10.1107/S0021889807067908; Mahmoudi G, 2016, CRYSTENGCOMM, V18, P9056, DOI 10.1039/c6ce02073a; Moreno-Fuquen R, 2019, ACTA CRYSTALLOGR C, V75, P359, DOI 10.1107/S2053229619002572; Na Y, 2011, BIOORG MED CHEM LETT, V21, P211, DOI 10.1016/j.bmcl.2010.11.037; Nowakowska Z, 2007, EUR J MED CHEM, V42, P125, DOI 10.1016/j.ejmech.2006.09.019; Okten S, 2019, J MOL STRUCT, V1175, P906, DOI 10.1016/j.molstruc.2018.08.063; Owokotomo IA, 2015, TOXICOL REP, V2, P850, DOI 10.1016/j.toxrep.2015.05.003; Sharma H, 2011, BIOORGAN MED CHEM, V19, P2030, DOI 10.1016/j.bmc.2011.01.047; Sharma V, 2013, ANTI-CANCER AGENT ME, V13, P422; Sheldrick GM, 2015, ACTA CRYSTALLOGR C, V71, P3, DOI [10.1107/S0108767307043930, 10.1107/S2053229614024218]; Shoaib M, 2019, PAK J PHARM SCI, V32, P1081; Shoaib M, 2018, CHIANG MAI J SCI, V45, P1415; Shukla P, 2007, BIOORG MED CHEM LETT, V17, P799, DOI 10.1016/j.bmcl.2006.10.068; Spackman MA, 2009, CRYSTENGCOMM, V11, P19, DOI 10.1039/b818330a; Spek AL, 2015, ACTA CRYSTALLOGR C, V71, P9, DOI 10.1107/S2053229614024929; Suwito H., 2014, J CHEM PHARM RES, V6, P1076; Syam S, 2012, MOLECULES, V17, P6179, DOI 10.3390/molecules17066179; Tanoli ST, 2019, BIOORG CHEM, V83, P336, DOI 10.1016/j.bioorg.2018.10.035; Taslimi P, 2018, J BIOCHEM MOL TOXIC, V32, DOI 10.1002/jbt.22191; Taslimi P, 2018, J FOOD BIOCHEM, V42, DOI 10.1111/jfbc.12516; Topal M, 2016, J ENZYM INHIB MED CH, V31, P266, DOI 10.3109/14756366.2015.1018244; Turkan F, 2018, ARCH PHARM, V351, DOI 10.1002/ardp.201800200; Turner MJ, 2014, J PHYS CHEM LETT, V5, P4249, DOI 10.1021/jz502271c; Ullah A, 2007, CHEM BIODIVERS, V4, P203, DOI 10.1002/cbdv.200790025; Viana GSB, 2003, PHYTOMEDICINE, V10, P189, DOI 10.1078/094471103321659924; Vogel S, 2010, EUR J MED CHEM, V45, P2206, DOI 10.1016/j.ejmech.2010.01.060; Zeeshan S, 2019, INFLAMM RES, V68, P613, DOI 10.1007/s00011-019-01245-9</t>
  </si>
  <si>
    <t>APR 5</t>
  </si>
  <si>
    <t>10.1016/j.molstruc.2021.132253</t>
  </si>
  <si>
    <t>0K6RO</t>
  </si>
  <si>
    <t>WOS:000780918500024</t>
  </si>
  <si>
    <t>Escobar, JW; Duque, JLR; Garcia-Caceres, R</t>
  </si>
  <si>
    <t>Willmer Escobar, John; Ramirez Duque, Jose Luis; Garcia-Caceres, Rafael</t>
  </si>
  <si>
    <t>A granular tabu search for the refrigerated vehicle routing problem with homogeneous fleet</t>
  </si>
  <si>
    <t>INTERNATIONAL JOURNAL OF INDUSTRIAL ENGINEERING COMPUTATIONS</t>
  </si>
  <si>
    <t>Granular Tabu Search (GTS); Refrigerated Capacitated Vehicle; Routing Problem (RCVRP); Metaheuristic Algorithms; Refrigerated Systems; Vehicle Routing Problems; COVID-19</t>
  </si>
  <si>
    <t>FOOD TRANSPORT; ENVIRONMENTAL IMPACTS; HETEROGENEOUS FLEET; GENETIC ALGORITHM; OPTIMIZATION; CHAIN; CONSUMPTION; FROZEN; MODEL</t>
  </si>
  <si>
    <t>The Refrigerated Capacitated Vehicle Routing Problem (RCVRP) considers a homogeneous fleet with a refrigerated system to decide the selection of routes to be performed according to customers' requirements. The aim is to keep the energy consumption of the routes as low as possible. We use a thermodynamic model to understand the unloading of products from trucks and the variables' efficiency, such as the temperature during the day influencing energy consumption. By considering various neighborhoods and a shaking procedure, this paper proposes a Granular Tabu Search scheme to solve the RCVRP. Computational tests using adapted benchmark instances from the literature demonstrate that the suggested method delivers high-quality solutions within short computing times, illustrating the refrigeration system's effect on routing decisions. (c) 2022 by the authors; licensee Growing Science, Canada</t>
  </si>
  <si>
    <t>[Willmer Escobar, John] Univ Valle, Dept Accounting &amp; Finance, Cali 760001, Valle Del Cauca, Colombia; [Ramirez Duque, Jose Luis] Pontificia Univ Javeriana Cali, Dept Ind &amp; Civil Engn, Cali 760001, Valle Del Cauca, Colombia; [Garcia-Caceres, Rafael] Univ Pedag &amp; Tecnol Colombia UPTC, Sch Ind Engn, Sogamoso, Colombia</t>
  </si>
  <si>
    <t>Universidad del Valle; Pontificia Universidad Javeriana; Universidad Pedagogica y Tecnologica de Colombia (UPTC)</t>
  </si>
  <si>
    <t>Escobar, JW (corresponding author), Univ Valle, Dept Accounting &amp; Finance, Cali 760001, Valle Del Cauca, Colombia.</t>
  </si>
  <si>
    <t>john.willmer.escobar@correounivalle.edu.co</t>
  </si>
  <si>
    <t>Ashrae, 2017, ASHRAE HDB FUND; Aydemir E, 2020, BRAZ J OPER PROD MAN, V17, DOI 10.14488/BJOPM.2020.011; Baker BM, 2003, COMPUT OPER RES, V30, P787, DOI 10.1016/S0305-0548(02)00051-5; Bell JE, 2004, ADV ENG INFORM, V18, P41, DOI 10.1016/j.aei.2004.07.001; Bernal J., 2018, INT J IND SYST ENG, V29, P453; Bernal J, 2017, J IND ENG MANAG-JIEM, V10, P646, DOI 10.3926/jiem.2159; Bola R., 2015, DECISION SCI LETT, V4, P559, DOI DOI 10.5267/J.DSL.2015.5.003; Ceschia S, 2020, ENERGIES, V13, DOI 10.3390/en13236214; Chavez J.J.S., 2016, INT J IND ENG COMP, V7, P35, DOI [DOI 10.5267/J.IJIEC.2015.8.003, 10.5267/j.ijiec.2015.8.003]; Chen L, 2019, COMPUT OPER RES, V111, P58, DOI 10.1016/j.cor.2019.06.001; Cordeau JF, 1997, NETWORKS, V30, P105, DOI 10.1002/(SICI)1097-0037(199709)30:2&lt;105::AID-NET5&gt;3.0.CO;2-G; Eksioglu B, 2009, COMPUT IND ENG, V57, P1472, DOI 10.1016/j.cie.2009.05.009; Escobar JW, 2014, J HEURISTICS, V20, P483, DOI 10.1007/s10732-014-9247-0; Escobar JW, 2014, TRANSPORT RES B-METH, V67, P344, DOI 10.1016/j.trb.2014.05.014; Escobar John Willmer, 2012, Rev. ing. univ. Medellín, V11, P139; Escobar JW, 2013, COMPUT OPER RES, V40, P70, DOI 10.1016/j.cor.2012.05.008; Feng S., 2003, J E ASIA SOC TRANSPO, V5, P2261; Gatica Gustavo, 2016, Ing. Univ., V20, P119, DOI 10.11144/Javeriana.iyu20-1.ngpg; Gendreau M, 2003, INT SER OPER RES MAN, V57, P37, DOI 10.1007/0-306-48056-5_2; Hsu CI, 2007, J FOOD ENG, V80, P465, DOI 10.1016/j.jfoodeng.2006.05.029; James S. J, 2009, P I REFR, V5; Kara I, 2007, LECT NOTES COMPUT SC, V4616, P62; Karagul K., 2019, LEAN GREEN SUPPLY CH, P161, DOI [DOI 10.1007/978-3-319-97511-5_6, 10.1007/978-3-319-97511-5_6]; Lepri S, 2003, PHYS REP, V377, P1, DOI 10.1016/S0370-1573(02)00558-6; Li G, 2017, SUSTAIN ENERGY TECHN, V21, P33, DOI 10.1016/j.seta.2017.04.002; Li YB, 2019, J CLEAN PROD, V227, P1161, DOI 10.1016/j.jclepro.2019.03.185; Linfati Rodrigo, 2014, ing.cienc., V10, P55; Liu GK, 2020, RESOUR CONSERV RECY, V156, DOI 10.1016/j.resconrec.2020.104715; Meneghetti A, 2020, INT J PROD RES, V58, P4164, DOI 10.1080/00207543.2019.1640407; Meneghetti A, 2018, IFAC PAPERSONLINE, V51, P618, DOI 10.1016/j.ifacol.2018.08.387; Escobar-Falcon LM, 2021, INT J IND ENG COMP, V12, P191, DOI 10.5267/j.ijiec.2020.11.003; Escobar-Falcon LM, 2016, REV FAC ING-UNIV ANT, P9, DOI 10.17533/udea.redin.n78a02; Novaes Antônio G.N., 2015, Pesqui. Oper., V35, P251, DOI 10.1590/0101-7438.2015.035.02.0251; Osman I. H., 1993, Annals of Operations Research, V41, P421, DOI 10.1007/BF02023004; Osvald A, 2008, J FOOD ENG, V85, P285, DOI 10.1016/j.jfoodeng.2007.07.008; Prajapati V.K., 2020, P 3 INT C EM TECHN C, P1; PROSEN T, 1992, J PHYS A-MATH GEN, V25, P3449, DOI 10.1088/0305-4470/25/12/009; Puenayán Duván Eduardo, 2014, Rev. ing. univ. Medellín, V13, P81; Rai A, 2017, ENRGY PROCED, V123, P113, DOI 10.1016/j.egypro.2017.07.267; Santa Chavez J. J, 2015, INT J IND ENG MANAGE, V6, P49; Song BD, 2016, J FOOD ENG, V169, P61, DOI 10.1016/j.jfoodeng.2015.08.027; Tang Y., 2018, 2018 INT C MATH MOD, P361; Tarantilis CD, 2001, J FOOD ENG, V50, P1, DOI 10.1016/S0260-8774(00)00187-4; Tassou SA, 2010, APPL THERM ENG, V30, P263, DOI 10.1016/j.applthermaleng.2009.09.001; Tassou SA, 2009, APPL THERM ENG, V29, P1467, DOI 10.1016/j.applthermaleng.2008.06.027; Toth P, 2003, INFORMS J COMPUT, V15, P333, DOI 10.1287/ijoc.15.4.333.24890; Villagra S, 2011, 13 WORKSH INV CIENC; Wang SY, 2017, SUSTAINABILITY-BASEL, V9, DOI 10.3390/su9050694; Wu XM, 2013, J CLEAN PROD, V54, P115, DOI 10.1016/j.jclepro.2013.04.045; Xia YK, 2019, CLUSTER COMPUT, V22, P15447, DOI 10.1007/s10586-018-2635-8; Xu SH, 2015, SENSORS-BASEL, V15, P21033, DOI 10.3390/s150921033; Yumrutas R., 2002, EXERGY, V2, P266; Zanoni S, 2012, INT J PROD ECON, V140, P731, DOI 10.1016/j.ijpe.2011.04.028; Zhang GM, 2003, J FOOD ENG, V60, P67, DOI 10.1016/S0260-8774(03)00019-0; Zhang Y, 2014, J APPL RES TECHNOL, V12, P239, DOI 10.1016/S1665-6423(14)72340-5; Zhao ZX, 2020, PLOS ONE, V15, DOI [10.1371/journal.pone.0235950, 10.1371/journal.pone.0235950.r001, 10.1371/journal.pone.0235950.r002, 10.1371/journal.pone.0235950.r003, 10.1371/journal.pone.0235950.r004, 10.1371/journal.pone.0235950.r005]</t>
  </si>
  <si>
    <t>GROWING SCIENCE</t>
  </si>
  <si>
    <t>TORONTO</t>
  </si>
  <si>
    <t>611, 141 DAVISVILLE AVE, TORONTO, ON M4S 1G7, CANADA</t>
  </si>
  <si>
    <t>1923-2926</t>
  </si>
  <si>
    <t>1923-2934</t>
  </si>
  <si>
    <t>INT J IND ENG COMP</t>
  </si>
  <si>
    <t>Int. J. Ind. Eng. Comput.</t>
  </si>
  <si>
    <t>WIN</t>
  </si>
  <si>
    <t>10.5267/j.ijiec.2021.6.001</t>
  </si>
  <si>
    <t>Engineering, Industrial; Operations Research &amp; Management Science</t>
  </si>
  <si>
    <t>Engineering; Operations Research &amp; Management Science</t>
  </si>
  <si>
    <t>WY6PP</t>
  </si>
  <si>
    <t>WOS:000719401500010</t>
  </si>
  <si>
    <t>Villa, CCC; Ortega-Toro, R; Ahmed, S; Gutierrez, TJJ; Valencia, GA; Cordoba, AL</t>
  </si>
  <si>
    <t>Villa, Cristian C. C.; Ortega-Toro, Rodrigo; Ahmed, Shakeel; Gutierrez, Tomy J. J.; Valencia, German Ayala; Cordoba, Alex Lopez</t>
  </si>
  <si>
    <t>Zeolites for food applications: A review</t>
  </si>
  <si>
    <t>FOOD BIOSCIENCE</t>
  </si>
  <si>
    <t>Adsorbers; Active substance carriers; Ethylene scavengers; Food nanoreactors; Food substance sensors; Food wastes; Moisture sorbents; Molecular sieves; Porous materials; Solid phase extraction</t>
  </si>
  <si>
    <t>SOLID-PHASE EXTRACTION; IN-SITU GROWTH; METAL-ORGANIC FRAMEWORKS; BAR SORPTIVE EXTRACTION; THIN-FILM MICROEXTRACTION; IMIDAZOLATE FRAMEWORK-8; LIQUID-CHROMATOGRAPHY; ANTIMICROBIAL PROPERTIES; LACTOBACILLUS-PLANTARUM; CHEMICAL CONTAMINANTS</t>
  </si>
  <si>
    <t>Zeolites have been little investigated for food applications, despite their chemical composition is similar to clays and clay minerals, which have been extensively analyzed for various applications, including food. Zeolites can be distinguished from clay materials, since the former have a porous microstructure characterized by intracrystalline cavities and channels, while the latter have a laminar microstructure. The goal of this review paper was to give a comprehensive perspective in terms of the different food applications found so far for zeolites, namely: antimicrobial materials, ethylene scavengers, fillers for food packaging materials, food nanoreactors, food substance sensors, immobilizers and stabilizers of active compounds and enzymes, molecular sieves for the pretreatment of food samples, as well as intelligent food contact materials. The main food applications from zeolites are related to their good properties as adsorbent materials, and these properties can be altered and tuned by ion exchange, surface organo-modification, among others, for a specific designed application. Zeolites for food applications have been investigated primarily as antimicrobial materials, concentrators of target analytes and sensors for food substances. However, the other potential food applications indicated above from zeolites are booming, since they are harmless materials recognized by various organizations.</t>
  </si>
  <si>
    <t>[Villa, Cristian C. C.] Univ Quindio, Fac Ciencias Bas &amp; Tecnol, Programa Quim, Quindio, Colombia; [Valencia, German Ayala] Univ Fed Santa Catarina, Dept Chem &amp; Food Engn, BR-88040900 Florianopolis, SC, Brazil; [Cordoba, Alex Lopez] Univ Pedagog &amp; Tecnol Colombia, Fac Secc Duitama, Escuela Admon Empresas Agr, Carrera 18 Con Calle 22 Duitama, Boyaca, Colombia; [Ortega-Toro, Rodrigo] Univ Cartagena, Fac Ingn, Food Packaging &amp; Shelf Life Res Grp FP&amp;SL, Ave Consulado Calle 30, Bolivar, Colombia; [Ahmed, Shakeel] Govt Degree Coll Mendhar, Dept Chem, Jammu 185211, India; [Ahmed, Shakeel] Govt Jammu &amp; Kashmir, Higher Educ Dept, Jammu 180001, India; [Gutierrez, Tomy J. J.] Univ Nacl Mar Del Plata UNMdP, Fac Ingn, Inst Invest Ciencia &amp; Tecnol Mat INTE, Grp Mat Compuestos Termoplast CoMP, Colon 10850,B7608FLC, Mar Del Plata, Argentina; [Gutierrez, Tomy J. J.] Consejo Nacl Invest Cient &amp; Tecn CONICET, Colon 10850,B7608FLC, Mar Del Plata, Argentina</t>
  </si>
  <si>
    <t>Universidad del Quindio; Universidade Federal de Santa Catarina (UFSC); Universidad Pedagogica y Tecnologica de Colombia (UPTC); Universidad de Cartagena; National University of Mar del Plata; Consejo Nacional de Investigaciones Cientificas y Tecnicas (CONICET)</t>
  </si>
  <si>
    <t>Gutierrez, TJJ (corresponding author), Natl Univ Mar Del Plata UNMdP, Fac Engn, Res Inst Mat Sci &amp; Technol INTEMA, POB B7608FLC,Col, Mar Del Plata, Buenos Aires, Argentina.;Gutierrez, TJJ (corresponding author), Natl Sci &amp; Tech Res Council CONICET, POB B7608FLC,Col on 10850, Mar Del Plata, Buenos Aires, Argentina.</t>
  </si>
  <si>
    <t>tomy.gutierrez@fi.mdp.edu.ar</t>
  </si>
  <si>
    <t>Villa, Cristian C C/AAF-3021-2019; Gutiérrez, Tomy J./ABH-2638-2020; Ahmed, Shakeel/P-1509-2016</t>
  </si>
  <si>
    <t>Villa, Cristian C C/0000-0001-6530-2569; Gutiérrez, Tomy J./0000-0001-9968-7778; Ahmed, Shakeel/0000-0001-5410-2975</t>
  </si>
  <si>
    <t>Federal University of Santa Catarina (UFSC); National Council for Scientific and Technological Development (CNPq) [405432/2018-6]; Universidad Pedagogica y Tecnologica de Colombia (UPTC); University of Cartagena; Consejo Nacional de Investigaciones Cientificas y T 'ecnicas (CONICET); Universidad Nacional de Mar del Plata (UNMdP); Agencia Nacional de Promoci 'on Cientifica y Tecnol 'ogica (ANPCyT) [PICT-2020-SERIEA-03137]</t>
  </si>
  <si>
    <t>Federal University of Santa Catarina (UFSC); National Council for Scientific and Technological Development (CNPq)(Conselho Nacional de Desenvolvimento Cientifico e Tecnologico (CNPQ)); Universidad Pedagogica y Tecnologica de Colombia (UPTC); University of Cartagena; Consejo Nacional de Investigaciones Cientificas y T 'ecnicas (CONICET)(Consejo Nacional de Investigaciones Cientificas y Tecnicas (CONICET)); Universidad Nacional de Mar del Plata (UNMdP)(National University of La Plata); Agencia Nacional de Promoci 'on Cientifica y Tecnol 'ogica (ANPCyT)(ANPCyT)</t>
  </si>
  <si>
    <t>C. C. Villa would like to thank Vicerrectoria de Investigaciones, Facultad de Ciencias B ' asicas y Tecnologias, Facultad de Ciencias Agroindustriales, Programa de Ingenieria de Alimentos and Programa de Quimica from Universidad del Quindio. G. A. Valencia would like to thank the Federal University of Santa Catarina (UFSC) and National Council for Scientific and Technological Development (CNPq) (grant 405432/2018-6) for financial support. A. Lopez Cordoba would like to thank the Universidad Pedagogica y Tecnologica de Colombia (UPTC) for their financial support. R. Ortega-Toro thanks the University of Cartagena for its support in the time granted to carry out this review work. S. Ahmed is thankful to Government Degree College Mendhar and Higher Education Department, Government of Jammu and Kashmir for providing facilities. T. J. Gutierrez would like to thank the Consejo Nacional de Investigaciones Cientificas y T ' ecnicas (CONICET), Universidad Nacional de Mar del Plata (UNMdP) and Agencia Nacional de Promoci ' on Cientifica y Tecnol ' ogica (ANPCyT) (grant PICT-2020-SERIEA-03137) for financial support. Dr. Mirian Carmona-Rodriguez for their valuable contribution.</t>
  </si>
  <si>
    <t>Adelodun AA, 2017, ASIAN J ATMOS ENVIRO, V11, P15, DOI 10.5572/ajae.2017.11.1.015; Ali A, 2018, J AGR FOOD CHEM, V66, P6940, DOI 10.1021/acs.jafc.8b01052; Alp-Erbay E, 2019, FOOD PACKAGING SHELF, V22, DOI 10.1016/j.fpsl.2019.100414; Alvarez K, 2018, SPR SER POLYM COMPOS, P57, DOI 10.1007/978-3-319-66417-0_3; Amani S, 2019, RSC ADV, V9, P32348, DOI 10.1039/c9ra04739e; Angaru GKR, 2021, CHEMOSPHERE, V267, DOI 10.1016/j.chemosphere.2020.128889; Arnnok P, 2017, TALANTA, V164, P651, DOI 10.1016/j.talanta.2016.11.003; Bacakova L, 2018, BIOMATER SCI-UK, V6, P974, DOI 10.1039/c8bm00028j; Baile P, 2020, TALANTA, V220, DOI 10.1016/j.talanta.2020.121394; Baile P, 2020, J SEP SCI, V43, P1808, DOI 10.1002/jssc.201901022; Belaabed R, 2016, BOL SOC ESP CERAM V, V55, P152, DOI 10.1016/j.bsecv.2016.05.001; Belibi PC, 2013, J FOOD ENG, V115, P339, DOI 10.1016/j.jfoodeng.2012.10.027; Bracone M., 2016, NATURAL POLYM DERIVA, P119; CAC Codex alimentarius commission, 2009, FOODS DER MOD BIOT C; Calleja Cortes A, 2009, CUADERNOS TOM, V1, P211; Capello C, 2021, J POLYM ENVIRON, V29, P1616, DOI 10.1007/s10924-020-01978-3; Capello C, 2019, J FOOD ENG, V262, P162, DOI 10.1016/j.jfoodeng.2019.06.010; Cardona L, 2021, CHEMOSPHERE, V262, DOI 10.1016/j.chemosphere.2020.127932; Casado J, 2015, ANAL BIOANAL CHEM, V407, P907, DOI 10.1007/s00216-014-8167-z; Chan MT, 2016, BIORESOURCE TECHNOL, V200, P838, DOI 10.1016/j.biortech.2015.10.093; Chen C, 2020, MICROCHEM J, V152, DOI 10.1016/j.microc.2019.104245; Chen MY, 2020, SCI TOTAL ENVIRON, V726, DOI 10.1016/j.scitotenv.2020.138535; Chen ZY, 2021, J ALLOY COMPD, V851, DOI 10.1016/j.jallcom.2020.156834; Colella C, 2007, STUD SURF SCI CATAL, V170, P2063; Cruciani G, 2006, J PHYS CHEM SOLIDS, V67, P1973, DOI 10.1016/j.jpcs.2006.05.057; Cui JX, 2021, CHEM ENG J, V420, DOI 10.1016/j.cej.2020.127633; de Araujo LO, 2019, COATINGS, V9, DOI 10.3390/coatings9120786; de Bruijn J, 2020, CRYSTALS, V10, DOI 10.3390/cryst10060471; Demirci S, 2014, APPL BIOCHEM BIOTECH, V172, P1652, DOI 10.1007/s12010-013-0647-7; Djaeni M, 2009, DRY TECHNOL, V27, P555, DOI 10.1080/07373930802715682; Djaeni M, 2021, DRY TECHNOL, V39, P1648, DOI 10.1080/07373937.2021.1885042; Sousa SDD, 2020, FOOD PACKAGING SHELF, V26, DOI 10.1016/j.fpsl.2020.100584; Dogan H, 2009, J PLAST FILM SHEET, V25, P207, DOI 10.1177/8756087909354479; Dutta P.K., 2003, HDB ZEOLITE SCI TECH, P1204, DOI [10.1201/9780203911167, DOI 10.1201/9780203911167]; Dutta P, 2019, COORDIN CHEM REV, V383, P1, DOI 10.1016/j.ccr.2018.12.014; EFSA Panel Food Contact Mat, 2011, EFSA J, V9, DOI 10.2903/j.efsa.2011.1999; Eroglu N, 2017, J SCI FOOD AGR, V97, P3487, DOI 10.1002/jsfa.8312; Fang LW, 2019, J SEP SCI, V42, P3047, DOI 10.1002/jssc.201900554; Folnozic I, 2019, RES VET SCI, V127, P57, DOI 10.1016/j.rvsc.2019.10.010; Foltynowicz Z, 2017, FOOD PACKAGING SHELF, V11, P74, DOI 10.1016/j.fpsl.2017.01.003; Fu YQ, 2017, TRAC-TREND ANAL CHEM, V96, P89, DOI 10.1016/j.trac.2017.07.014; Fuss V. L, 2021, EVALUATION IMPACT DI, DOI [10.3390/ma14133724, DOI 10.3390/MA14133724]; Gao SQ, 2019, J CHROMATOGR B, V1128, DOI 10.1016/j.jchromb.2019.121778; Ghaani M, 2016, TRENDS FOOD SCI TECH, V51, P1, DOI 10.1016/j.tifs.2016.02.008; Ghani M, 2019, MICROCHEM J, V147, P1173, DOI 10.1016/j.microc.2019.04.052; Ghani M, 2018, J CHROMATOGR A, V1577, P15, DOI 10.1016/j.chroma.2018.09.049; Ghani M, 2018, J CHROMATOGR A, V1567, P55, DOI 10.1016/j.chroma.2018.06.059; Ghasemi Z, 2018, REV AQUACULT, V10, P75, DOI 10.1111/raq.12148; Guerra R, 2012, MICROPOR MESOPOR MAT, V147, P267, DOI 10.1016/j.micromeso.2011.06.031; Gugushe AS, 2019, MICROCHEM J, V149, DOI 10.1016/j.microc.2019.05.060; Gutierrez T., 2017, HDB COMPOSITES RENEW, P337; Gutierrez T. J., 2020, REACTIVE FUNCTIONAL, P1, DOI 10.1007/978-3- 030-52052-6_1; Gutierrez TJ, 2021, INT J BIOL MACROMOL, V172, P439, DOI 10.1016/j.ijbiomac.2021.01.048; Gutierrez TJ, 2021, FOOD HYDROCOLLOID, V111, DOI 10.1016/j.foodhyd.2020.106255; Gutierrez TJ, 2018, J POLYM ENVIRON, V26, P2374, DOI 10.1007/s10924-017-1134-y; Gutierrez TJ, 2017, COMPR REV FOOD SCI F, V16, P1313, DOI 10.1111/1541-4337.12301; Hajializadeh A, 2020, MICROCHEM J, V157, DOI 10.1016/j.microc.2020.105008; Hanula M., 2021, ACTIVE PACKAGING BUT, DOI [10.3390/agriculture11070653. Agriculture, DOI 10.3390/AGRICULTURE11070653.AGRICULTURE]; Hashemi B, 2017, TRAC-TREND ANAL CHEM, V97, P65, DOI 10.1016/j.trac.2017.08.015; Hassanzadeh AM, 2017, ARS PHARM, V58, P163, DOI [10.4321/S2340-98942017000400003, 10.30827/ars.v58i4.6765]; He XQ, 2021, TALANTA, V224, DOI 10.1016/j.talanta.2020.121876; Hird SJ, 2014, TRAC-TREND ANAL CHEM, V59, P59, DOI 10.1016/j.trac.2014.04.005; Hrenovic J, 2012, J HAZARD MATER, V201, P260, DOI 10.1016/j.jhazmat.2011.11.079; Huang CH, 2019, ANAL CHEM, V91, P2418, DOI 10.1021/acs.analchem.8b05202; Huang J, 2017, TALANTA, V165, P326, DOI 10.1016/j.talanta.2016.12.075; Huang XD, 2019, RSC ADV, V9, P39272, DOI 10.1039/c9ra07617d; Huang XD, 2018, APPL SCI-BASEL, V8, DOI 10.3390/app8060959; Hubner P, 2020, MAT SCI ENG C-MATER, V107, DOI 10.1016/j.msec.2019.110215; Huwei S, 2021, LWT-FOOD SCI TECHNOL, V141, DOI 10.1016/j.lwt.2021.110854; IARC, 1997, MONOGRAPHS EVALUATIO, V68, P307; Islas G, 2017, INT J ANAL CHEM, V2017, DOI 10.1155/2017/8215271; Jafari Z, 2020, ANAL CHIM ACTA, V1131, P45, DOI 10.1016/j.aca.2020.07.037; Jafari Z, 2020, ANAL METHODS-UK, V12, P1736, DOI [10.1039/d0ay00137f, 10.1039/D0AY00137F]; Janicijevic D, 2020, SCI TOTAL ENVIRON, V735, DOI 10.1016/j.scitotenv.2020.139530; Karami-Osboo R, 2020, MICROCHEM J, V158, DOI 10.1016/j.microc.2020.105206; Khoobi A, 2019, FOOD CHEM, V288, P39, DOI 10.1016/j.foodchem.2019.02.118; Knolhoff AM, 2016, J CHROMATOGR A, V1428, P86, DOI 10.1016/j.chroma.2015.08.059; Komaty S, 2021, J COLLOID INTERF SCI, V581, P919, DOI 10.1016/j.jcis.2020.08.117; Kong JJ, 2019, J CHROMATOGR A, V1603, P92, DOI 10.1016/j.chroma.2019.06.063; Kopp B, 2020, MUTAT RES-GEN TOX EN, V850, DOI 10.1016/j.mrgentox.2020.503161; Kumar PVS, 2020, INT J FRUIT SCI, V20, P922, DOI 10.1080/15538362.2019.1700406; Lan HZ, 2017, J CHROMATOGR A, V1486, P76, DOI 10.1016/j.chroma.2016.10.081; Leandro GC, 2021, FOOD RES INT, V140, DOI 10.1016/j.foodres.2020.109903; Li S, 2019, MATERIALS, V12, DOI 10.3390/ma12203287; Li SE, 2019, DYES PIGMENTS, V171, DOI 10.1016/j.dyepig.2019.107738; Li YL, 2016, ECOL ENG, V90, P234, DOI 10.1016/j.ecoleng.2016.01.066; Li Y, 2017, CHEM-US, V3, P928, DOI 10.1016/j.chempr.2017.10.009; Li ZX, 2020, ACS OMEGA, V5, P31925, DOI 10.1021/acsomega.0c04822; Lima CD, 2020, ELECTROCHIM ACTA, V354, DOI 10.1016/j.electacta.2020.136728; Liu HF, 2019, MOLECULES, V24, DOI 10.3390/molecules24224038; Liu JF, 2020, NEW J CHEM, V44, P5324, DOI 10.1039/d0nj00006j; Llorens A, 2012, TRENDS FOOD SCI TECH, V24, P19, DOI 10.1016/j.tifs.2011.10.001; Loew N, 2021, ELECTROCHIM ACTA, V367, DOI 10.1016/j.electacta.2020.137483; Lopes MM, 2021, PROCESS BIOCHEM, V100, P260, DOI 10.1016/j.procbio.2020.10.017; Magri A, 2021, FOOD CHEM, V354, DOI 10.1016/j.foodchem.2021.129533; Mansourbahmani S, 2018, J FOOD MEAS CHARACT, V12, P691, DOI 10.1007/s11694-017-9682-3; Marzano-Barreda LA, 2021, J FOOD SCI TECH MYS, V58, DOI 10.1007/s13197-020-04529-9; Maximiano EM, 2018, ELECTROCHIM ACTA, V259, P66, DOI 10.1016/j.electacta.2017.10.162; Maximiano EM, 2016, J APPL ELECTROCHEM, V46, P713, DOI 10.1007/s10800-016-0954-0; Merz B, 2020, INT J BIOL MACROMOL, V153, P625, DOI 10.1016/j.ijbiomac.2020.03.048; Mirzajani R, 2019, MICROCHIM ACTA, V186, DOI 10.1007/s00604-018-3217-4; Moretti AF, 2018, J FOOD SCI TECH MYS, V55, P431, DOI 10.1007/s13197-017-2923-y; Nakhli SAA, 2017, WATER AIR SOIL POLL, V228, DOI 10.1007/s11270-017-3649-1; Noviello M, 2020, FOOD PACKAGING SHELF, V26, DOI 10.1016/j.fpsl.2020.100572; Nyaba L, 2020, FOOD CHEM, V322, DOI 10.1016/j.foodchem.2020.126749; Ogawa M, 2017, DYES PIGMENTS, V139, P561, DOI 10.1016/j.dyepig.2016.12.054; Papaioannou D, 2005, MICROPOR MESOPOR MAT, V84, P161, DOI 10.1016/j.micromeso.2005.05.030; Pavelic SK, 2018, FRONT PHARMACOL, V9, DOI 10.3389/fphar.2018.01350; POND WG, 1983, B ENVIRON CONTAM TOX, V31, P666, DOI 10.1007/BF01606043; POND WG, 1983, P SOC EXP BIOL MED, V173, P332; Prabhu R, 2018, MATER TODAY-PROC, V5, P14553, DOI 10.1016/j.matpr.2018.03.045; Prasai TP, 2017, MICROBIOL RES, V195, P24, DOI 10.1016/j.micres.2016.11.006; Pukcothanung Y, 2018, MICROPOR MESOPOR MAT, V258, P131, DOI 10.1016/j.micromeso.2017.08.035; Putri VJ, 2019, IOP C SER EARTH ENV, V347, DOI 10.1088/1755-1315/347/1/012063; Qi Y, 2020, MICROCHIM ACTA, V187, DOI 10.1007/s00604-020-04243-5; Radoor S, 2021, COLLOID SURFACE A, V611, DOI 10.1016/j.colsurfa.2020.125852; Rahimi M, 2012, LETT DRUG DES DISCOV, V9, P213, DOI 10.2174/157018012799079833; Ramesh K, 2011, ADV AGRON, V113, P215, DOI 10.1016/B978-0-12-386473-4.00009-9; Rescek A, 2018, ADV POLYM TECH, V37, DOI 10.1002/adv.21727; Rocio-Bautista P, 2019, CHROMATOGRAPHIA, V82, P1191, DOI 10.1007/s10337-019-03706-z; Sanchez MJ, 2017, MATER LETT, V191, P65, DOI 10.1016/j.matlet.2017.01.039; Senosy IA, 2020, FOOD CHEM, V325, DOI 10.1016/j.foodchem.2020.126944; Servatan M, 2020, DRUG DISCOV TODAY, V25, P642, DOI 10.1016/j.drudis.2020.02.005; Shen C, 2019, CHROMATOGRAPHIA, V82, P683, DOI 10.1007/s10337-018-3679-x; Silva GTM, 2020, ACS OMEGA, V5, P26592, DOI 10.1021/acsomega.0c03354; Singh T, 2017, FRONT MICROBIOL, V8, DOI 10.3389/fmicb.2017.01501; SMITH TK, 1980, J ANIM SCI, V50, P278, DOI 10.2527/jas1980.502278x; Song MY, 2018, CATALYSTS, V8, DOI 10.3390/catal8090389; Sulaiman KO, 2020, MICROCHEM J, V152, DOI 10.1016/j.microc.2019.104289; Sun LP, 2020, ANAL LETT, V53, P2636, DOI 10.1080/00032719.2020.1751180; Tanimu A, 2019, TALANTA, V194, P377, DOI 10.1016/j.talanta.2018.10.012; Tegl G, 2018, ENG LIFE SCI, V18, P334, DOI 10.1002/elsc.201700120; Toommee S, 2018, RESULTS PHYS, V9, P71, DOI 10.1016/j.rinp.2018.02.006; Tosheva L, 2017, COLLOID SURFACE B, V157, P254, DOI 10.1016/j.colsurfb.2017.06.001; Tsagkaris AS, 2019, TRAC-TREND ANAL CHEM, V121, DOI 10.1016/j.trac.2019.115688; Turiel E., 2019, COMPR ANAL CHEM, V86, DOI [10.1016/bs.coac.2019.05.003, DOI 10.1016/BS.COAC.2019.05.003]; Tzeng JH, 2019, J SCI FOOD AGR, V99, P3467, DOI 10.1002/jsfa.9565; Tzia C, 2012, HANDBOOK OF NATURAL ZEOLITES, P601; United States Food and Drug Administration (USFDA), 2015, CODE FEDERAL REGULAT; Utari FD, 2018, IOP C SER EARTH ENV, V102, DOI 10.1088/1755-1315/102/1/012067; Valencia G.A., 2019, POLYM AGRI FOOD APPL, P391; Valencia G. A., 2021, BIOVALORIZATION WAST, P111, DOI [10.1007/978-981-15-9696-4_5, DOI 10.1007/978-981-15-9696-4_5]; Villa CC, 2021, TRENDS FOOD SCI TECH, V111, P642, DOI 10.1016/j.tifs.2021.03.003; Villa CC, 2020, TRENDS FOOD SCI TECH, V102, P102, DOI 10.1016/j.tifs.2020.05.027; Wang JQ, 2018, FOOD CHEM, V256, P358, DOI 10.1016/j.foodchem.2018.02.136; Wang LL, 2019, CHEMOSPHERE, V229, P1, DOI 10.1016/j.chemosphere.2019.04.169; Wang XQ, 2021, COLLOID SURFACE A, V615, DOI 10.1016/j.colsurfa.2021.126218; Wattanawong N, 2020, J REINF PLAST COMP, V39, P95, DOI 10.1177/0731684419893440; Wei XX, 2018, TALANTA, V182, P484, DOI 10.1016/j.talanta.2018.02.022; Widayanti S. M., 2021, IOP Conference Series : Earth and Environmental Science, V803, DOI 10.1088/1755-1315/803/1/012029; Xie HY, 2020, J CHROMATOGR A, V1625, DOI 10.1016/j.chroma.2020.461337; Yaneva ZL, 2018, CHEM BIOCHEM ENG Q, V32, P281, DOI 10.15255/CABEQ.2018.1319; Yaneva Z, 2016, MONATSH CHEM, V147, P1167, DOI 10.1007/s00706-016-1714-x; Yang Y, 2020, MICROCHIM ACTA, V187, DOI 10.1007/s00604-020-04257-z; Yao GY, 2019, ENVIRON SCI POLLUT R, V26, P2782, DOI 10.1007/s11356-018-3750-z; Ye RP, 2021, SMALL, V17, DOI 10.1002/smll.201906250; Youssef HF, 2019, FOOD PACKAGING SHELF, V22, DOI 10.1016/j.fpsl.2019.100378; Zarrabi M, 2018, ENVIRON SCI POLLUT R, V25, P23045, DOI 10.1007/s11356-018-2360-0; Zarrintaj P, 2020, MEDCOMM, V1, P5, DOI 10.1002/mco2.5; Zhang L, 2012, ENERG BUILDINGS, V49, P575, DOI 10.1016/j.enbuild.2012.03.012; Zhang SH, 2017, TALANTA, V166, P46, DOI 10.1016/j.talanta.2017.01.042; Zhang YY, 2019, TRAC-TREND ANAL CHEM, V121, DOI 10.1016/j.trac.2019.115669; Zhang ZJ, 2020, J WATER PROCESS ENG, V37, DOI 10.1016/j.jwpe.2020.101417; Zhu W, 2019, ADV MATER, V31, DOI 10.1002/adma.201800426</t>
  </si>
  <si>
    <t>2212-4292</t>
  </si>
  <si>
    <t>2212-4306</t>
  </si>
  <si>
    <t>FOOD BIOSCI</t>
  </si>
  <si>
    <t>Food Biosci.</t>
  </si>
  <si>
    <t>10.1016/j.fbio.2022.101577</t>
  </si>
  <si>
    <t>ZV7DD</t>
  </si>
  <si>
    <t>WOS:000770685300005</t>
  </si>
  <si>
    <t>Perez-Escobar, OA; Zizka, A; Bermudez, MA; Meseguer, AS; Condamine, FL; Hoorn, C; Hooghiemstra, H; Pu, YS; Bogarin, D; Boschman, LM; Pennington, RT; Antonelli, A; Chomicki, G</t>
  </si>
  <si>
    <t>Perez-Escobar, Oscar Alejandro; Zizka, Alexander; Bermudez, Mauricio A.; Meseguer, Andrea S.; Condamine, Fabien L.; Hoorn, Carina; Hooghiemstra, Henry; Pu, Yuanshu; Bogarin, Diego; Boschman, Lydian M.; Pennington, R. Toby; Antonelli, Alexandre; Chomicki, Guillaume</t>
  </si>
  <si>
    <t>The Andes through time: evolution and distribution of Andean floras</t>
  </si>
  <si>
    <t>TRENDS IN PLANT SCIENCE</t>
  </si>
  <si>
    <t>LATE MIOCENE RISE; SURFACE UPLIFT; NORTHERN ANDES; PLANT DIVERSIFICATION; RAPID DIVERSIFICATION; BOLIVIAN ALTIPLANO; EASTERN CORDILLERA; ADAPTIVE RADIATION; CONTINENTAL-SCALE; POLLEN RECORDS</t>
  </si>
  <si>
    <t>The Andes are the world's most biodiverse mountain chain, encompassing a complex array of ecosystems from tropical rainforests to alpine habitats. We pro-vide a synthesis of Andean vascular plant diversity by estimating a list of all spe-cies with publicly available records, which we integrate with a phylogenetic dataset of 14 501 Neotropical plant species in 194 clades. We find that (i) the An-dean flora comprises at least 28 691 georeferenced species documented to date, (ii) Northern Andean mid-elevation cloud forests are the most species-rich An-dean ecosystems, (iii) the Andes are a key source and sink of Neotropical plant diversity, and (iv) the Andes, Amazonia, and other Neotropical biomes have had a considerable amount of biotic interchange through time.</t>
  </si>
  <si>
    <t>[Perez-Escobar, Oscar Alejandro; Antonelli, Alexandre] Royal Bot Gardens, Richmond TW9 3AB, Surrey, England; [Zizka, Alexander] Philipps Univ Marburg, Biodivers Plants, D-35043 Marburg, Germany; [Zizka, Alexander; Pu, Yuanshu] German Ctr Integrat Biodivers Res Halle Jena Leip, D-04103 Leipzig, Germany; [Bermudez, Mauricio A.] Univ Pedag &amp; Tecnol Colombia, Escuela Ingn Geol, Tunja, Colombia; [Meseguer, Andrea S.] CSIC, Real Jardin Bot Madrid RJB, Madrid, Spain; [Condamine, Fabien L.] Univ Montpellier, Ctr Natl Rech Sci CNRS, Inst Sci Evolut Montpellier, F-34095 Montpellier, France; [Hoorn, Carina; Hooghiemstra, Henry] Univ Amsterdam, Inst Biodivers &amp; Ecosyst Dynam IBED, NL-1098 XH Amsterdam, Netherlands; [Bogarin, Diego] Univ Costa Rica, Jardin Bot Lankester, Cartago, Costa Rica; [Bogarin, Diego] Nat Biodivers Ctr, NL-2333 CR Leiden, Netherlands; [Boschman, Lydian M.] Eidgenoss TH ETH Zurich, Dept Environm Syst Sci, CH-8092 Zurich, Switzerland; [Pennington, R. Toby] Univ Exeter, Dept Geog, Exeter EX4 4RJ, Devon, England; [Pennington, R. Toby] Royal Bot Garden, Edinburgh EH3 5LR, Midlothian, Scotland; [Antonelli, Alexandre] Univ Gothenburg, Gothenburg Global Biodivers Ctr, Dept Biol &amp; Environm Sci, Gothenburg, Sweden; [Antonelli, Alexandre] Univ Oxford, Dept Plant Sci, Oxford OX1 3RB, England; [Chomicki, Guillaume] Univ Sheffield, Ecol &amp; Evolutionary Biol, Sheffield S10 2TN, S Yorkshire, England</t>
  </si>
  <si>
    <t>Royal Botanic Gardens, Kew; Philipps University Marburg; Universidad Pedagogica y Tecnologica de Colombia (UPTC); Consejo Superior de Investigaciones Cientificas (CSIC); CSIC - Real Jardin Botanico de Madrid; Centre National de la Recherche Scientifique (CNRS); Institut de Recherche pour le Developpement (IRD); Universite de Montpellier; University of Amsterdam; Universidad Costa Rica; Naturalis Biodiversity Center; University of Exeter; University of Gothenburg; University of Oxford; N8 Research Partnership; White Rose University Consortium; University of Sheffield</t>
  </si>
  <si>
    <t>Perez-Escobar, OA (corresponding author), Royal Bot Gardens, Richmond TW9 3AB, Surrey, England.;Chomicki, G (corresponding author), Univ Sheffield, Ecol &amp; Evolutionary Biol, Sheffield S10 2TN, S Yorkshire, England.</t>
  </si>
  <si>
    <t>O.PerezEscobar@kew.org; g.chomicki@sheffield.ac.uk</t>
  </si>
  <si>
    <t>Meseguer, Andrea/H-8593-2019; Bogarín, Diego/L-5309-2015; Zizka, Alexander/V-5998-2019; Pérez-Escobar, Oscar Alejandro/G-6882-2012; Hoorn, Carina/A-9372-2015</t>
  </si>
  <si>
    <t>Meseguer, Andrea/0000-0003-0743-404X; Bogarín, Diego/0000-0002-8408-8841; Zizka, Alexander/0000-0002-1680-9192; Pérez-Escobar, Oscar Alejandro/0000-0001-9166-2410; Boschman, Lydian/0000-0002-1802-0187; Chomicki, Guillaume/0000-0003-4547-6195; Bermudez, Mauricio A/0000-0003-0584-4790; Hoorn, Carina/0000-0001-5402-6191</t>
  </si>
  <si>
    <t>Sainsbury Orchid Fellowship at the Royal Botanic Gardens Kew; Swiss Orchid Foundation; iDiv via the German Research Foundation through sDiv, the Synthesis Centre of iDiv [FZT-118]; Investissements d'Avenir grant [ANR-10-LABX-25-01]; ANR GAARAnti project [ANR-17-CE31-0009]; Universidad Pedagogica y Tecnologica de Colombia (UPTC) [3104]; Erasmus+ scholarship from the European Commission; Swedish Research Council; Swedish Foundation for Strategic Research; Royal Botanic Gardens, Kew; UK Natural Environment Research Council Independent Research Fellowship [NE/S014470/1]</t>
  </si>
  <si>
    <t>Sainsbury Orchid Fellowship at the Royal Botanic Gardens Kew; Swiss Orchid Foundation; iDiv via the German Research Foundation through sDiv, the Synthesis Centre of iDiv; Investissements d'Avenir grant(French National Research Agency (ANR)); ANR GAARAnti project(French National Research Agency (ANR)); Universidad Pedagogica y Tecnologica de Colombia (UPTC); Erasmus+ scholarship from the European Commission; Swedish Research Council(Swedish Research Council); Swedish Foundation for Strategic Research(Swedish Foundation for Strategic Research); Royal Botanic Gardens, Kew; UK Natural Environment Research Council Independent Research Fellowship(UK Research &amp; Innovation (UKRI)Natural Environment Research Council (NERC))</t>
  </si>
  <si>
    <t>We thank Victor Alberto Ramos for permission to reuse the map in Figure 1A, Mario Coiro for help with plant fossil records curation, and Colin Hughes, two anonymous reviewers, and the editor Susanne Brink for comments that helped to improve the manuscript. Eve J. Lucas and Gwilym P. Lewis are thanked for providing useful insights into the taxonomy of the Andean plant list. O.A.P-E is funded by a Sainsbury Orchid Fellowship at the Royal Botanic Gardens Kew and the Swiss Orchid Foundation. A.Z. acknowledges funding by iDiv via the German Research Foundation (FZT-118, DGF) , specifically through sDiv, the Synthesis Centre of iDiv. F.L.C. is supported by an Investissements d'Avenir grant managed by the Agence Nationale de la Recherche [ANR; Center for the Study of Biodiversity in Amazonia (CEBA) grant ANR-10-LABX-25-01] and by the ANR GAARAnti project (ANR-17-CE31-0009) . M.A.B. thanks the Universidad Pedagogica y Tecnologica de Colombia (UPTC) for support via Direccion de Investigaciones (DIN) SGI Project 3104. Y.P. was funded by an Erasmus+ scholarship from the European Commission. A.A. is funded by the Swedish Research Council, the Swedish Foundation for Strategic Research, and the Royal Botanic Gardens, Kew. G.C. is funded by a UK Natural Environment Research Council Independent Research Fellowship (NE/S014470/1) .</t>
  </si>
  <si>
    <t>Antonelli A, 2018, PEERJ, V6, DOI 10.7717/peerj.5644; Antonelli A, 2018, P NATL ACAD SCI USA, V115, P6034, DOI 10.1073/pnas.1713819115; Antonelli A, 2011, TAXON, V60, P403, DOI 10.1002/tax.602010; Antonelli A, 2009, P NATL ACAD SCI USA, V106, P9749, DOI 10.1073/pnas.0811421106; Armijo R, 2015, EARTH-SCI REV, V143, P1, DOI 10.1016/j.earscirev.2015.01.005; Azevedo JA, 2020, NEOTROPICAL DIVERSIF, P271; Banda-R K, 2016, SCIENCE, V353, P1383, DOI 10.1126/science.aaf5080; Barke R, 2006, EARTH PLANET SC LETT, V249, P350, DOI 10.1016/j.epsl.2006.07.012; Barnes JB, 2009, EARTH-SCI REV, V97, P105, DOI 10.1016/j.earscirev.2009.08.003; Bermudez M. A, 2020, J S AM EARTH SCI; Bermudez MA, 2019, FRONT EARTH SCI SER, P879, DOI 10.1007/978-3-319-76132-9_13; Bernal MH, 2008, ZOOTAXA, P1, DOI 10.11646/zootaxa.1826.1.1; Berrio JC, 2002, J QUATERNARY SCI, V17, P667, DOI 10.1002/jqs.701; Blisniuk PM, 2005, EARTH PLANET SC LETT, V230, P125, DOI 10.1016/j.epsl.2004.11.015; Boom A, 2001, REV PALAEOBOT PALYNO, V115, P147, DOI 10.1016/S0034-6667(01)00056-2; Boschman L.M., 2021, MOUNTAIN RAD ARE NOT, DOI [10.1101/2021.04. 24.441240, DOI 10.1101/2021.04.24.441240]; Boschman LM, 2021, EARTH-SCI REV, V220, DOI 10.1016/j.earscirev.2021.103640; Bruijnzeel L.A, 2010, TROPICAL MONTANE FOR; Bullock Stephen H., 1995, P277, DOI 10.1017/CBO9780511753398.011; Carvalho MR, 2021, SCIENCE, V372, P63, DOI 10.1126/science.abf1969; Caswell Hal, 2001, pi; Chen YW, 2019, NATURE, V565, P441, DOI 10.1038/s41586-018-0860-1; CLEEF AM, 1979, TROPICAL BOT, P175; Cleef AM, 1981, THESIS; Cortes ALA, 2015, AM J BOT, V102, P992, DOI 10.3732/ajb.1400558; Cortes AJ, 2018, FRONT PLANT SCI, V9, DOI 10.3389/fpls.2018.01700; CUATRECASAS J., 1958, Rev. Acad. colomb. Cienc. exact. fis. -nat., V10, P221; Dussaillant I, 2019, NAT GEOSCI, V12, P803, DOI 10.1038/s41561-019-0432-5; Ehlers TA, 2009, EARTH PLANET SC LETT, V281, P238, DOI 10.1016/j.epsl.2009.02.026; Flantua S., 2018, MOUNTAINS CLIMATE BI, P171; Flantua SGA, 2019, J BIOGEOGR, V46, P1808, DOI 10.1111/jbi.13607; Garzione CN, 2008, SCIENCE, V320, P1304, DOI 10.1126/science.1148615; Garzione CN, 2017, ANNU REV EARTH PL SC, V45, P529, DOI 10.1146/annurev-earth-063016-020612; Garzione CN, 2006, EARTH PLANET SC LETT, V241, P543, DOI 10.1016/j.epsl.2005.11.026; GENTRY AH, 1987, ANN MO BOT GARD, V74, P205, DOI 10.2307/2399395; GENTRY AH, 1982, ANN MO BOT GARD, V69, P557, DOI 10.2307/2399084; Gianni GM, 2018, J GEODYN, V121, P64, DOI 10.1016/j.jog.2018.07.008; Givnish TJ, 2014, MOL PHYLOGENET EVOL, V71, P55, DOI 10.1016/j.ympev.2013.10.010; Gregory-Wodzicki KM, 2000, GEOL SOC AM BULL, V112, P1091, DOI 10.1130/0016-7606(2000)112&lt;1091:UHOTCA&gt;2.0.CO;2; Gutscher MA, 1999, EARTH PLANET SC LETT, V171, P335, DOI 10.1016/S0012-821X(99)00153-3; Hartley AJ, 2007, EARTH PLANET SC LETT, V259, P625, DOI 10.1016/j.epsl.2007.04.012; Hooghiemstra H, 2004, PHILOS T ROY SOC B, V359, P173, DOI 10.1098/rstb.2003.1420; Hooghiemstra H, 2006, ANN MO BOT GARD, V93, P297, DOI 10.3417/0026-6493(2006)93[297:TPROCI]2.0.CO;2; HOORN C, 1995, GEOLOGY, V23, P237, DOI 10.1130/0091-7613(1995)023&lt;0237:ATAACF&gt;2.3.CO;2; Hoorn C, 2010, SCIENCE, V330, P927, DOI 10.1126/science.1194585; Hoorn C, 2017, GLOBAL PLANET CHANGE, V153, P51, DOI 10.1016/j.gloplacha.2017.02.005; Horton BK, 2018, EARTH-SCI REV, V178, P279, DOI 10.1016/j.earscirev.2017.11.025; Horton BK, 2018, TECTONICS, V37, P402, DOI 10.1002/2017TC004624; Hughes C, 2006, P NATL ACAD SCI USA, V103, P10334, DOI 10.1073/pnas.0601928103; Hughes CE, 2015, NEW PHYTOL, V207, P275, DOI 10.1111/nph.13230; Insel N, 2012, EARTH PLANET SC LETT, V317, P262, DOI 10.1016/j.epsl.2011.11.039; Jaramillo C, 2010, AMAZONIA: LANDSCAPE AND SPECIES EVOLUTION: A LOOK INTO THE PAST, P317; Johnson KR, 2002, SCIENCE, V296, P2379, DOI 10.1126/science.1072102; Kennan L, 2009, GEOL SOC SPEC PUBL, V328, P487, DOI 10.1144/SP328.20; Lagomarsino LP, 2016, NEW PHYTOL, V210, P1430, DOI 10.1111/nph.13920; Leier A, 2013, EARTH PLANET SC LETT, V371, P49, DOI 10.1016/j.epsl.2013.04.025; Loiseau O, 2020, ANN BOT-LONDON, V125, P93, DOI 10.1093/aob/mcz145; Luebert F, 2014, FRONT ECOL EVOL, V2, DOI 10.3389/fevo.2014.00027; Luteyn J.L, 1999, PARAMOS CHECKLIST PL, V84; Madrinan Santiago, 2013, Frontiers in Genetics, V4, P192, DOI 10.3389/fgene.2013.00192; Martinez C, 2020, SCI ADV, V6, DOI 10.1126/sciadv.aaz4724; Michaud F, 2009, GEOL SOC AM MEM, V204, P217, DOI 10.1130/2009.1204(10); MITOUARD P, 1990, EARTH PLANET SC LETT, V98, P329, DOI 10.1016/0012-821X(90)90035-V; Mittermeier R.A., 2011, BIODIVERSITY HOTSPOT, P3, DOI [10.1007/978-3-642-20992-51, DOI 10.1007/978-3-642-20992-5_1]; Moonlight PW, 2015, J BIOGEOGR, V42, P1137, DOI 10.1111/jbi.12496; Morley R.J., 2000, ORIGIN EVOLUTION TRO; Murphy Peter G., 1995, P9, DOI 10.1017/CBO9780511753398.002; Myers N, 2000, NATURE, V403, P853, DOI 10.1038/35002501; Nevado B, 2018, NEW PHYTOL, V219, P779, DOI 10.1111/nph.15243; Nevado B, 2016, NAT COMMUN, V7, DOI 10.1038/ncomms12384; Neves DM, 2020, SCI REP-UK, V10, DOI 10.1038/s41598-019-55621-w; Nurk NM, 2018, GLOBAL ECOL BIOGEOGR, V27, P334, DOI 10.1111/geb.12699; Olson DM, 2001, BIOSCIENCE, V51, P933, DOI 10.1641/0006-3568(2001)051[0933:TEOTWA]2.0.CO;2; Pennington RT, 2010, P NATL ACAD SCI USA, V107, P13783, DOI 10.1073/pnas.1001317107; Perez-Escobar OA, 2018, SCIENCE, V359, P1473, DOI 10.1126/science.aat4849; Perez-Escobar OA, 2017, SCI REP-UK, V7, DOI 10.1038/s41598-017-04261-z; Perez-Escobar OA, 2017, NEW PHYTOL, V215, P891, DOI 10.1111/nph.14629; Pouchon C, 2018, SYST BIOL, V67, P1041, DOI 10.1093/sysbio/syy022; Quintana C, 2017, ANN MO BOT GARD, V102, P542, DOI 10.3417/D-17-00003A; Ramos V.A., 2004, AAPG MEMOIR, P30; Ramos VA, 2009, GEOL SOC AM MEM, V204, P31, DOI 10.1130/2009.1204(02); Rangel-Chui J.O, 2011, DIVERSIDAD BIOTICA 4; Richardson JE, 2018, GEOL J, V53, P2935, DOI 10.1002/gj.3133; Silva GAR, 2018, J BIOGEOGR, V45, P76, DOI 10.1111/jbi.13107; Rohrmann A., 2013, P AM GEOPH UN FALL M; Rowley DB, 2007, ANNU REV EARTH PL SC, V35, P463, DOI 10.1146/annurev.earth.35.031306.140155; Sarkinen T, 2012, J BIOGEOGR, V39, P884, DOI 10.1111/j.1365-2699.2011.02644.x; Schepers G, 2017, NAT COMMUN, V8, DOI 10.1038/ncomms15249; Scherson RA, 2008, AM J BOT, V95, P1030, DOI 10.3732/ajb.0800017; Schwery O, 2015, NEW PHYTOL, V207, P355, DOI 10.1111/nph.13234; Sempere T., 2005, 6 INT S AND GEOD ISA, P663; Siravo G, 2018, TECTONICS, V37, P4311, DOI 10.1029/2018TC005162; Siravo G, 2019, EARTH PLANET SC LETT, V512, P100, DOI 10.1016/j.epsl.2019.02.002; Smith SA, 2018, AM J BOT, V105, P302, DOI 10.1002/ajb2.1019; Spriggs EL, 2015, NEW PHYTOL, V207, P340, DOI 10.1111/nph.13305; Stadel C., 1991, YB C LATIN AM GEOGRA, P13; Torres V, 2013, QUATERNARY SCI REV, V63, P59, DOI 10.1016/j.quascirev.2012.11.004; Ulloa CU, 2017, SCIENCE, V358, P1614, DOI 10.1126/science.aao0398; Vuille M, 2018, EARTH-SCI REV, V176, P195, DOI 10.1016/j.earscirev.2017.09.019; Werneck FP, 2012, EVOLUTION, V66, P3014, DOI 10.1111/j.1558-5646.2012.01682.x; Wille M, 2001, VEG HIST ARCHAEOBOT, V10, P61, DOI 10.1007/PL00006921; Wing SL, 2009, P NATL ACAD SCI USA, V106, P18627, DOI 10.1073/pnas.0905130106; Zizka A., 2019, FRONT BIOGEOGR, V11; Zizka A, 2020, J BIOGEOGR, V47, P1310, DOI 10.1111/jbi.13815</t>
  </si>
  <si>
    <t>ELSEVIER SCIENCE LONDON</t>
  </si>
  <si>
    <t>84 THEOBALDS RD, LONDON WC1X 8RR, ENGLAND</t>
  </si>
  <si>
    <t>1360-1385</t>
  </si>
  <si>
    <t>1878-4372</t>
  </si>
  <si>
    <t>TRENDS PLANT SCI</t>
  </si>
  <si>
    <t>Trends Plant Sci.</t>
  </si>
  <si>
    <t>10.1016/j.tplants.2021.09.010</t>
  </si>
  <si>
    <t>Plant Sciences</t>
  </si>
  <si>
    <t>ZR7ND</t>
  </si>
  <si>
    <t>Green Accepted, Green Published, hybrid</t>
  </si>
  <si>
    <t>Y</t>
  </si>
  <si>
    <t>N</t>
  </si>
  <si>
    <t>WOS:000767964800009</t>
  </si>
  <si>
    <t>Galindo-Malagon, XA; Morales, I; Ospina-Garces, SM</t>
  </si>
  <si>
    <t>Galindo-Malagon, Ximena Alejandra; Morales, Irina; Ospina-Garces, Sandra M.</t>
  </si>
  <si>
    <t>Morphometric tools to solve species complexes: The case of Rhagovelia angustipes (Hemiptera: Veliidae)</t>
  </si>
  <si>
    <t>ARTHROPOD STRUCTURE &amp; DEVELOPMENT</t>
  </si>
  <si>
    <t>Integrative taxonomy; Traditional morphometrics; Geometric morphometrics; Bugs; Gerromorpha</t>
  </si>
  <si>
    <t>HETEROPTERA VELIIDAE; GEOMETRIC MORPHOMETRICS; SALINA GROUP; R PACKAGE; SHAPE; COLOMBIA; GERROMORPHA; MORPHOLOGY; DIVERSITY; MAYR</t>
  </si>
  <si>
    <t>The riffle bugs of the Rhagovelia angustipes complex have presented problems in taxonomy due to high intra-specific variability. Here we identified variation in the complex with morphometric techniques. We analyzed variation of the characters and performed a phylogenetic analysis of a combined matrix of linear measurements, geometric configurations, and discrete characters. We found that characters such as head length, metanotum length, femur width, and the evaluated shape of four characters (head, abdomen, fore tibia, hind femur) were important for the delimitation of species. In particular, we identified the metanotum length as a character that had not been previously considered in the taxonomy of the complex. The phylogenetic reconstruction allowed us to recover some relationships established for the taxonomy of the complex for the salina group, except for the species R. colombiana that was closer to R. calceola and R. calopa. This may be due to a similar natural history, since they share areas of distri-bution, while the R. bisignata and R. hambletoni groups could not be recovered, showing their low morphological support. In general, the geometric morphometric characters showed high levels of ho-mology, with the head and the anterior tibia being the ones that had the best performance in the tree. Finally, the use of morphometric tools proved to be a powerful input for the taxonomic resolution of species complexes that have problems in their delimitation.(c) 2022 Elsevier Ltd. All rights reserved.</t>
  </si>
  <si>
    <t>[Galindo-Malagon, Ximena Alejandra; Morales, Irina] Univ Pedag &amp; Tecnol Colombia, Ctr Labs LS214, Lab Entomol, Ave Cent Norte 39-115, Tunja, Colombia; [Ospina-Garces, Sandra M.] Univ Veracruzana, Ctr Invest Trop, Jose Maria Morelos No 44 &amp; 46 Col Ctr, CP, Xalapa 91000, Veracruz, Mexico</t>
  </si>
  <si>
    <t>Universidad Pedagogica y Tecnologica de Colombia (UPTC); Universidad Veracruzana</t>
  </si>
  <si>
    <t>Ospina-Garces, SM (corresponding author), Univ Veracruzana, Ctr Invest Trop, Jose Maria Morelos No 44 &amp; 46 Col Ctr, CP, Xalapa 91000, Veracruz, Mexico.</t>
  </si>
  <si>
    <t>ospinagarcess@gmail.com</t>
  </si>
  <si>
    <t>Ospina-Garcés, Sandra Milena/AGU-8028-2022</t>
  </si>
  <si>
    <t>Ospina-Garcés, Sandra Milena/0000-0002-0950-4390; Galindo Malagon, Ximena Alejandra/0000-0003-0617-9403; MORALES, IRINA/0000-0003-2456-5674</t>
  </si>
  <si>
    <t>Adams DC., 2021, GEOMORPH SOFTWARE GE; Adams DC, 2013, METHODS ECOL EVOL, V4, P393, DOI 10.1111/2041-210X.12035; Aguilar-Medrano R, 2013, ZOOMORPHOLOGY, V132, P197, DOI 10.1007/s00435-012-0178-8; Aguirre H, 2011, ZOOTAXA, P4; Galindo-Malagon XA, 2021, ZOOTAXA, V4958, P167, DOI [10.11646/zootaxa.4958.1.11, 10.11646/ZOOTAXA.4958.1.11]; Calle DA, 2008, BIOMEDICA, V28, P371; Andersen N.M., 1982, SEMIAQUATIC BUGS HEM, V3; Ariza-Marin ER, 2020, ARTHROPOD STRUCT DEV, V59, DOI 10.1016/j.asd.2020.100994; Armisen D., 2022, BIORXIV, DOI [10.1101/2022.01.08.475494, 2022, 01.08.475494, DOI 10.1101/2022.01.08.475494,2022,01.08.475494]; Avendano JM, 2018, ZOOTAXA, V4504, P489, DOI 10.11646/zootaxa.4504.4.3; BACON JOHN A., 1956, UNIV KANSAS SCI BULL, V38, P695; Bechara WY, 2012, REV MEX BIODIVERS, V83, P421; Benitez HA, 2014, INT J MORPHOL, V32, P998, DOI 10.4067/S0717-95022014000300041; Bookstein F.L., 1997, MORPHOMETRIC TOOLS L, DOI DOI 10.1017/CBO9780511573064; Catalano SA, 2010, CLADISTICS, V26, P539, DOI 10.1111/j.1096-0031.2010.00302.x; Collyer M.L, 2019, RRPP LINEAR MODEL EV; Collyer ML, 2018, METHODS ECOL EVOL, V9, P1772, DOI 10.1111/2041-210X.13029; Core Team R., 2013, R LANG ENV STAT COMP; Crumiere A., 2018, BIORXIV, DOI [10.1101/425504, DOI 10.1101/425504]; Crumiere AJJ, 2016, CURR BIOL, V26, P3336, DOI 10.1016/j.cub.2016.09.061; Crumiere AJJ, 2019, FRONT ECOL EVOL, V7, DOI 10.3389/fevo.2019.00215; Da Motta FS, 2018, ZOOTAXA, V4433, P520, DOI 10.11646/zootaxa.4433.3.7; Damgaard J, 2008, INSECT SYST EVOL, V39, P431, DOI 10.1163/187631208788784264; Dayrat B, 2005, BIOL J LINN SOC, V85, P407, DOI 10.1111/j.1095-8312.2005.00503.x; del Rosario Manzano Maria, 1995, Biblioteca Jose Jeronimo Triana, V11, P47; Dela Cruz Lessie Mae L., 2011, Egyptian Academic Journal of Biological Sciences A Entomology, V4, P21; DRYDEN I. L, 2019, SHAPES STAT SHAPE AN; Garraffoni ARS, 2019, SCI REP-UK, V9, DOI 10.1038/s41598-018-38033-0; Goloboff PA, 2016, CLADISTICS, V32, P221, DOI 10.1111/cla.12160; Hillside NJ., 1988, STAT POWER ANAL BEHA, V2nd ed, DOI DOI 10.4324/9780203771587; Horikoshi M., 2019, PACKAGE GGFORTIFY DA; Romero-Zúñiga Rodrigo Ivan, 2018, Bol. Cient. Mus. Hist. Nat. Univ. Caldas, V22, P151, DOI 10.17151/bccm.2018.22.1.13; KLINGENBERG CP, 1992, REV SUISSE ZOOL, V99, P11, DOI 10.5962/bhl.part.79819; Lecocq T, 2015, ZOOL SCR, V44, P281, DOI 10.1111/zsc.12107; Legendre P, 1998, NUMERICAL ECOLOGY, V24; Matojo ND, 2013, ISRN ENTOMOLOGY, V2013, DOI DOI 10.1155/2013/176342; Menke A.S., 1979, Bulletin of the California Insect Survey, V21, P1; Mitteroecker P, 2013, HYSTRIX, V24, P59, DOI 10.4404/hystrix-24.1-6369; Molano F, 2018, ZOOTAXA, V4457, P305, DOI 10.11646/zootaxa.4457.2.6; Molano-Rendon Fredy, 2017, Biota Colombiana, V18, P172; Moreira FFF, 2015, ENTOMOL FOCUS, V2, P113, DOI 10.1007/978-94-017-9861-7_6; Padilla-Gil DN, 2016, HIDROBIOLOGICA, V26, P395, DOI 10.24275/uam/izt/dcbs/hidro/2016v26n3/Padilla; Padilla-Gil DN, 2015, ZOOTAXA, V4059, P71, DOI 10.11646/zootaxa.4059.1.4; Nattero J, 2017, PARASITE VECTOR, V10, DOI 10.1186/s13071-017-2350-y; OHara R., 2019, PACKAGE VEGAN REPOSI; Ortiz-Sepulveda CM, 2019, ORG DIVERS EVOL, V19, P447, DOI 10.1007/s13127-019-00406-2; Ospina-Garces SM, 2018, ARTHROPOD STRUCT DEV, V47, P2, DOI 10.1016/j.asd.2017.11.005; Padial JM, 2010, FRONT ZOOL, V7, DOI 10.1186/1742-9994-7-16; Padilla-Gil D.N., 2019, NUEVAS ESPECIES RHAG, P242; Padilla-Gil DN, 2010, ZOOTAXA, P63, DOI 10.11646/zootaxa.2621.1.4; Padilla-Gil DN, 2011, AQUAT INSECT, V33, P203, DOI 10.1080/01650424.2011.597404; Pante E, 2015, SYST BIOL, V64, P152, DOI 10.1093/sysbio/syu083; Polhemus D.A., 1997, SYSTEMATICS GENUS RH, P386; Polhemus John T., 1992, P302; Ramirez-Sanchez MM, 2016, ZOOL J LINN SOC-LOND, V177, P720, DOI 10.1111/zoj.12384; Rohlf F., 2018, TPS UTILITY PROGRAM; Rohlf F., 2015, TPS SERIES SOFTWARE; Schlager S., 2016, MORPHO CALCULATIONS; Talarico F, 2007, J ZOOL SYST EVOL RES, V45, P33, DOI 10.1111/j.1439-0469.2006.00394.x; Toro Ibacache María Viviana, 2010, Int. J. Morphol., V28, P977, DOI 10.4067/S0717-95022010000400001; Torres RA, 2018, REV SOC ENTOMOL ARGE, V77, P18, DOI 10.25085/rsea.770103; Wei T., 2017, PACKAGE CORRPLOT VER; Zelditch M.L., 2012, GEOMETRIC MORPHOMETR, DOI [10.1016/B978-0-12-386903-6.00001-0, DOI 10.1016/B978-012778460-1/50007-7]; Zhao YS, 2021, ZOOKEYS, P71, DOI 10.3897/zookeys.1012.54779</t>
  </si>
  <si>
    <t>1467-8039</t>
  </si>
  <si>
    <t>1873-5495</t>
  </si>
  <si>
    <t>ARTHROPOD STRUCT DEV</t>
  </si>
  <si>
    <t>Arthropod Struct. Dev.</t>
  </si>
  <si>
    <t>10.1016/j.asd.2022.101192</t>
  </si>
  <si>
    <t>3P9CM</t>
  </si>
  <si>
    <t>WOS:000837831500002</t>
  </si>
  <si>
    <t>Fuentes, E; Garza, LE</t>
  </si>
  <si>
    <t>Fuentes, Edinson; Garza, Luis E.</t>
  </si>
  <si>
    <t>Coherent pairs and Sobolev-type orthogonal polynomials on the real line: An extension to the matrix case</t>
  </si>
  <si>
    <t>JOURNAL OF MATHEMATICAL ANALYSIS AND APPLICATIONS</t>
  </si>
  <si>
    <t>Matrix orthogonal polynomials; Matrix coherent pairs; Matrix Sobolev polynomials</t>
  </si>
  <si>
    <t>LAGUERRE; ASYMPTOTICS; RESPECT</t>
  </si>
  <si>
    <t>In this contribution, we extend the concept of coherent pair for two quasi-definite matrix linear functionals u0 and u1. Necessary and sufficient conditions for these functionals to constitute a coherent pair are determined, when one of them satisfies a matrix Pearson-type equation. Moreover, we deduce algebraic properties of the matrix orthogonal polynomials associated with the Sobolev-type inner product(sic)p, q(sic)(s) = (sic)p,q(sic)(u0) + (sic)p'M-1, q'M-2(sic)(u1) ,where M-1 and M-2 are m x m non-singular matrices and p, q are matrix polynomials.(c) 2022 Elsevier Inc. All rights reserved.</t>
  </si>
  <si>
    <t>[Fuentes, Edinson] Univ Pedag &amp; Tecnol Colombia, Escuela Matemat &amp; Estadist, Ave Cent Norte 39-115, Tunja, Boyaca, Colombia; [Garza, Luis E.] Univ Colima, Fac Ciencias, Bernal Diaz Castillo 340, Colima, Mexico</t>
  </si>
  <si>
    <t>Universidad Pedagogica y Tecnologica de Colombia (UPTC); Universidad de Colima</t>
  </si>
  <si>
    <t>Garza, LE (corresponding author), Univ Colima, Fac Ciencias, Bernal Diaz Castillo 340, Colima, Mexico.</t>
  </si>
  <si>
    <t>edinson.fuentes@uptc.edu.co; luis_garza1@ucol.mx</t>
  </si>
  <si>
    <t>Garza, Luis E./B-1208-2013; Garza, Luis E./Q-7093-2018</t>
  </si>
  <si>
    <t>Garza, Luis E./0000-0002-2569-186X</t>
  </si>
  <si>
    <t>Mexico's CONACYT [287523]; Direccion General de Investigacion e Inovacion, Consejeria de Educacion e Investigacion de la Comunidad de Madrid (Spain); Universidad de Alcala [CM/JIN/2021-014]</t>
  </si>
  <si>
    <t>Mexico's CONACYT(Consejo Nacional de Ciencia y Tecnologia (CONACyT)); Direccion General de Investigacion e Inovacion, Consejeria de Educacion e Investigacion de la Comunidad de Madrid (Spain); Universidad de Alcala</t>
  </si>
  <si>
    <t>The second author was supported by Mexico's CONACYT Grant 287523, and by Direccion General de Investigacion e Inovacion, Consejeria de Educacion e Investigacion de la Comunidad de Madrid (Spain), and Universidad de Alcala under grant CM/JIN/2021-014. Linea de actuacion estimulo a la investigacion, Proyectos de I+D para jovenes investigadores de la Universidad de Alcala 2021. Both authors thank the valuable comments and suggestions made by the anonymous referee. They have contributed to substantially improve our work.</t>
  </si>
  <si>
    <t>Alvarez-Fernandez C, 2017, INT MATH RES NOTICES, V2017, P1285, DOI 10.1093/imrn/rnw027; Batahan R.S., 2014, ACTA U SAPIENTIAE-MA, V6, P121; Branquinho A., 1993, THESIS U COIMBRA COI; Cantero MJ, 2007, J APPROX THEORY, V146, P174, DOI 10.1016/j.jat.2006.10.005; Cantero MJ., 2005, J CONCR APPL MATH, V3, P313; Garcia-Ardila JC, 2018, LINEAR MULTILINEAR A, V66, P357, DOI 10.1080/03081087.2017.1299089; Castro MM, 2005, J NONLINEAR MATH PHY, V12, P63, DOI 10.2991/jnmp.2005.12.s2.6; Company R., 1996, J APPROX THEORY APPL, V12, P20; Damanik D., 2008, SURV APPROX THEORY, V4, P1; de Bruin M.G., 1995, ANN NUMER MATH, V2, P233; Defez E, 2004, MATH COMPUT MODEL, V40, P117, DOI 10.1016/j.mcm.2003.11.004; Defez E, 1998, J COMPUT APPL MATH, V99, P105, DOI 10.1016/S0377-0427(98)00149-6; Defez E., 2002, FAR E J APPL MATH, V6, P217; Duenas H, 2021, COMPUT METH FUNCT TH, V21, P219, DOI 10.1007/s40315-020-00324-x; DURAN AJ, 1995, LINEAR ALGEBRA APPL, V219, P261, DOI 10.1016/0024-3795(93)00218-O; DURAN AJ, 1995, CAN J MATH, V47, P88, DOI 10.4153/CJM-1995-005-8; Duran AJ, 2005, J APPROX THEORY, V134, P267, DOI 10.1016/j.jat.2005.02.009; ISERLES A, 1991, J APPROX THEORY, V65, P151, DOI 10.1016/0021-9045(91)90100-O; JODAR L, 1994, APPL NUMER MATH, V15, P53, DOI 10.1016/0168-9274(94)00012-3; Jodar L, 2004, UTILITAS MATHEMATICA, V65, P3; Jodar L., 1998, APPROX THEORY APPL, V14, P36; LEWIS DC, 1947, AM J MATH, V69, P273, DOI 10.2307/2371851; MARCELLAN F, 1993, LINEAR ALGEBRA APPL, V181, P97, DOI 10.1016/0024-3795(93)90026-K; MARCELLAN F, 1995, INDAGAT MATH NEW SER, V6, P287, DOI 10.1016/0019-3577(95)93197-I; Marcellan F, 2015, EXPO MATH, V33, P308, DOI 10.1016/j.exmath.2014.10.002; Maroni P., 1990, PERIOD MATH HUNG, V21, P223, DOI DOI 10.1007/BF02651091; Martinez-Finkelshtein A, 1998, J APPROX THEORY, V92, P280, DOI 10.1006/jath.1997.3123; Meijer H.G., 1996, NIEUW ARCH WISK, V14, P93; Meijer HG, 1997, J APPROX THEORY, V89, P321, DOI 10.1006/jath.1996.3062; MEIJER HG, 1993, INDAGAT MATH NEW SER, V4, P163, DOI 10.1016/0019-3577(93)90037-Y; Sastre J, 2006, MATH COMPUT MODEL, V44, P1025, DOI 10.1016/j.mcm.2006.03.006; Sastre J, 2006, APPL MATH LETT, V19, P721, DOI 10.1016/j.aml.2005.10.003; Shehata A, 2015, MALAYS J MATH SCI, V9, P443</t>
  </si>
  <si>
    <t>ACADEMIC PRESS INC ELSEVIER SCIENCE</t>
  </si>
  <si>
    <t>SAN DIEGO</t>
  </si>
  <si>
    <t>525 B ST, STE 1900, SAN DIEGO, CA 92101-4495 USA</t>
  </si>
  <si>
    <t>0022-247X</t>
  </si>
  <si>
    <t>1096-0813</t>
  </si>
  <si>
    <t>J MATH ANAL APPL</t>
  </si>
  <si>
    <t>J. Math. Anal. Appl.</t>
  </si>
  <si>
    <t>FEB 1</t>
  </si>
  <si>
    <t>10.1016/j.jmaa.2022.126674</t>
  </si>
  <si>
    <t>Mathematics, Applied; Mathematics</t>
  </si>
  <si>
    <t>5S6SM</t>
  </si>
  <si>
    <t>WOS:000875317100027</t>
  </si>
  <si>
    <t>Gonzalez, LC; Aguilar, MAC; Lozano, LFL</t>
  </si>
  <si>
    <t>Castellanos Gonzalez, Leonides; Cepeda Aguilar, Martin Alejandro; Leal Lozano, Luisa Fernanda</t>
  </si>
  <si>
    <t>Diversity and coverage of weed species in farms of small properties in eight municipalities, department of Boyaca, Colombia</t>
  </si>
  <si>
    <t>farm; herbs; species richness; management</t>
  </si>
  <si>
    <t>Introduction- The knowledge of the weeds present in the agroecosystems and their populations allows to project in a more accurate way the management programs of these. Objective-. Characterize the diversity of weed species and its coverage in 120 small farms of small farmers in the municipalities of Boyaca. Methodology-. The investigation was carried out in 15 farms in the municipalities of the Department: Chitaraque, Gachantiva, La Capilla, Nuevo Colon, Maripi, Santa Maria, Zetraquira and Tuta, in each of 0.5 ha plots where the landmarks were determined. of 1m 2 the weeds present and the percentage of coverage. Results-. It was observed the presence of 255 species of weeds located in 167 genera and in 60 botanical families, being the most representative families Asteraceae and Poaceae, followed by Cyperacea, Fabaceae and Polygonaceae. The municipalities characterized by a higher relative temperature Chitaraque, Santa Maria and La Capilla present higher specific richness. The species with the highest frequency, present in all the municipalities was P. aquilinum, in 75% of the municipalities were D. ciliata, and S. rhombifolia and in 62.5%Anthoxanthum odoratum, Bidens pilosa, Desmodium incanum, Hypochaeris radicata and Verbena litoralis. Conclusions-. From the monocotyledons, several species of Poaceas stood out with greater coverage, among them; C. clandestinum, three from the Brachiaria genus, three from Cynodon, within the Cyperaceae the species Dichromena ciliata, and one fern from the Dennstaedtiaceae family, P. aquilinum, which generally constitute important weeds of economic crops.</t>
  </si>
  <si>
    <t>[Castellanos Gonzalez, Leonides; Leal Lozano, Luisa Fernanda] Univ Pamplona, N De Santander, Colombia; [Cepeda Aguilar, Martin Alejandro] Univ Pedag &amp; Tecnol Colombia, Tunja, Colombia</t>
  </si>
  <si>
    <t>Gonzalez, LC (corresponding author), Univ Pamplona, N De Santander, Colombia.</t>
  </si>
  <si>
    <t>lclcastell@gmail.com; martincepeda08@gmail.com; luisafernanda1293@hotmail.com</t>
  </si>
  <si>
    <t>Aguero-Alvarado R, 2018, AGRON MESOAM, V29, P85, DOI 10.15517/ma.v29i1.28053; Akobundu I. O., 1987, Weed science in the tropics. Principles and practices.; Alzate G. A. M., 2003, Acta Agronomica, Universidad Nacional de Colombia, V52, P65; [Anonymous], 2021, INGE CUC, V17, DOI [10.17981/ingecuc.17.1.2021.09, DOI 10.17981/INGECUC.17.1.2021.09]; [Anonymous], 2011, HYPTIS SUAVEOLENS; Bernal R., 2019, CATALOGO PLANTAS LIQ; Bernal R., 2017, NOMBRES COMUNES PLAN; Blanco Y., 2007, Cultivos Tropicales, V28, P21; Blanco-Valdes Yaisys, 2016, cultrop, P34, DOI 10.13140/RG.2.2.10964.19844; Borges JA, 2017, BIOAGRO, V29, P145; Boyaca Agro, 2018, DES ESTR AGR FORT SE; CENICANA, 2017, MAN REC ARV CULT CAN; Chacon E, 2006, LANKESTERIANA, V6, P139, DOI [10.15517/lank.vi.7959, DOI 10.15517/LANK.V0I0.7959]; DANE, 2013, CULT MOR CAST RUB GL, P1; Davila A., 2019, REV AGR TROPICAL, V5, P12; FAO, 2006, RECOMENDACIONES MANE; Forero N., 2021, REV COLOMB CIEN HORT, V15, DOI [10.17584/rcch.2021v15i2.12141, DOI 10.17584/RCCH.2021V15I2.12141]; Franzese Jorgelina, 2012, Ecol. austral, V22, P101; Fuentes C., 2011, FLORA ARVENSE ALTIPL; Gámez López Arnaldo, 2011, Agronomía Trop., V61, P133; Hernandez V, 2006, REV BIOL TROP, V54, P1157; HOYOS VERÓNICA, 2015, rev.colomb.cienc.hortic., V9, P247, DOI 10.17584/rcch.2015v9i2.4181; Leon A. F., 2019, INSECTOS BENEFICOS A; Lopez L.E., 2015, REV LUNA AZUL, V41, P131; Martínez de Carrillo Mirna, 2003, Bioagro, V15, P91; Medrano C., 1999, Revista de la Facultad de Agronomia, Universidad del Zulia, V16, P583; Medrano Carlos, 2007, Boletin del Centro de Investigaciones Biologicas Universidad del Zulia, V41, P363; Mejia N., 1985, ACTA AGRON, V36, P39; Mila A., 2004, REV CORPOICA, V5, P70; MORENO C. E., 2001, METODOS MEDIR BIODIV, V1, P1; Moreno-Preciado Oscar Eduardo, 2021, rev.udcaactual.divulg.cient., V24, pe1734, DOI 10.31910/rudca.v24.n1.2021.1734; NOZAWA Shingo, 2008, Acta Bot. Venez., V31, P307; Orduz-Rodriguez J. O., 2011, Revista Corpoica - Ciencia y Tecnologia Agropecuarias, V12, P121; Pacheco G., 1989, MALEZAS VENEZUELA AS, V1; Plaza Guido A., 2007, Agron. colomb., V25, P306; Quintero-Pertuz I, 2021, CALDASIA, V43, P80, DOI 10.15446/caldasia.v43n1.83554; QUINTERO-PERTÚZ IRMA, 2015, rev.colomb.cienc.hortic., V9, P329, DOI 10.17584/rcch.2015v9i2.4188; Ramirez J., 2012, REDVET, V13, P1; Rodríguez-Gutiérrez José Luis, 2016, Rev. acad. colomb. cienc. exact. fis. nat., V40, P621, DOI 10.18257/raccefyn.379; Salazar L. F., 2007, ARVENSES MANEJO CAFE; Sans FX, 2007, ECOSISTEMAS, V16, P44; Zamorano Carolina, 2008, Agron. colomb., V26, P443; Zapata-Ossa Helmer de Jesús, 2011, Rev. salud pública, V13, P141</t>
  </si>
  <si>
    <t>10.17981/ingecuc.18.2.2022.14</t>
  </si>
  <si>
    <t>5X8IS</t>
  </si>
  <si>
    <t>WOS:000878841200001</t>
  </si>
  <si>
    <t>Neira-Martinez, E; Cespedes-Quintero, R; Pardo-Santamaria, DF; Gonzalez-Aranguren, CM</t>
  </si>
  <si>
    <t>Neira-Martinez, Eliana; Cespedes-Quintero, Ricardo; Fernando Pardo-Santamaria, Diego; Melisa Gonzalez-Aranguren, Carol</t>
  </si>
  <si>
    <t>Clinical case: Intestinal Intususception with ano-rectal protrusion in canine</t>
  </si>
  <si>
    <t>REVISTA CIENTIFICA-FACULTAD DE CIENCIAS VETERINARIAS</t>
  </si>
  <si>
    <t>Intususception; invagination; anorectal protrusion</t>
  </si>
  <si>
    <t>INTUSSUSCEPTION</t>
  </si>
  <si>
    <t>The specific and unusual case presented in a Veterinary clinic in the City of Tunja (Boyaca - Colombia) was described, regarding intususception or invagination of the colon with anorectal protrusion in canine, after one week of hospitalization with primary diagnosis gastroenteritis of viral origin, in a 6-month-old, Creole breed;the medical history does not detail clinical or surgical history. After the surgical process without complications, the animal dies with a diagnosis of ischemia of postoperative repercussion. This clinical case aims to contribute to the scientific literature in relation to surgical veterinary medicine.</t>
  </si>
  <si>
    <t>[Neira-Martinez, Eliana; Fernando Pardo-Santamaria, Diego; Melisa Gonzalez-Aranguren, Carol] Univ Boyaca, Tunja, Boyaca, Colombia; [Cespedes-Quintero, Ricardo] Univ Pedag &amp; Tecnol Colombia, Tunja, Boyaca, Colombia</t>
  </si>
  <si>
    <t>Neira-Martinez, E (corresponding author), Univ Boyaca, Tunja, Boyaca, Colombia.</t>
  </si>
  <si>
    <t>elineira@uniboyaca.edu.co</t>
  </si>
  <si>
    <t>Atray M, 2012, CAN VET J, V53, P860; Corfield GS, 2008, J VET EMERG CRIT CAR, V18, P68, DOI 10.1111/j.1476-4431.2007.00271.x; ETTINGER S, 2007, INFECCIONES TRACTO D, V2, P1400; Hernandez C. A., 2010, Revista CES Medicina Veterinaria y Zootecnia, V5, P69; LUCENA R, 2006, ASOC VET ESPANOL ESP, V26, P19; MURGIA D, 2013, ANIM HLTH TRUST COMP, V18, P158; Ortiz J.F, 2011, Rev. Med. Vet. Zoot., V58, P99; Patsikas MN, 2008, J AM ANIM HOSP ASSOC, V44, P41, DOI 10.5326/0440041; PRATHABAN S, 2013, IND J CAN PRACT, V5, P45; Sivasankar M, 2000, CAN VET J, V41, P407; WIETHUCHTER CF, 2017, REDVET, V18, P1</t>
  </si>
  <si>
    <t>UNIV ZULIA, FACULTAD CIENCIAS VETERINARIAS</t>
  </si>
  <si>
    <t>MARACAIBO</t>
  </si>
  <si>
    <t>UNIVERSIDAD DEL ZULIA, MARACAIBO, VENEZUELA</t>
  </si>
  <si>
    <t>0798-2259</t>
  </si>
  <si>
    <t>REV CIENT-FAC CIEN V</t>
  </si>
  <si>
    <t>Rev. Cient.-Fac. Cienc. Vet.</t>
  </si>
  <si>
    <t>e32071</t>
  </si>
  <si>
    <t>10.52973/rcfcy-e32071</t>
  </si>
  <si>
    <t>XZ0IB</t>
  </si>
  <si>
    <t>WOS:000737345300001</t>
  </si>
  <si>
    <t>Luna, GAA; Lizarazo, GAA</t>
  </si>
  <si>
    <t>Luna, Guillermo Alexander Arevalo; Lizarazo, Guillermo Alejandro Arevalo</t>
  </si>
  <si>
    <t>Political Economy and Economic Policy of the Argentin Crisis: Towards Full Dollarization?</t>
  </si>
  <si>
    <t>macroeconomics; dollarization; monetary policy; inflation</t>
  </si>
  <si>
    <t>In the article, a general analysis on economic, social, and political aspects is carried out, that in one way or another led Argentina to a situation of permanent crisis in terms of budget gap. The crisis was motivated by the overflow of public spending, fiscal dominance of monetary policy with struc-tural imbalances in the foreign exchange and external sectors. The various public spending policies and the correlated growth of the monetary base that promotes imbalances on the external front with permanent inflation and devaluation of the national currency that reduce the real competiti-veness of the export base are discussed. The article also examines the various government actions in social policy, public spending and fiscal dominance of monetary policy that permanently reduce purchasing power and condemn the population to suffer higher rates of poverty and marginality. It also analyzes the macroeconomic adjustment programs that could eventually be carried out within the Argentine economy to give way to a dollarization program that could facilitate the transition to a definitive solution of the recurrent crises that affect the nation.</t>
  </si>
  <si>
    <t>[Luna, Guillermo Alexander Arevalo] Univ Pedag &amp; Tecnol Colombia, Tunja, Colombia; [Lizarazo, Guillermo Alejandro Arevalo] Univ Andes, Adm, Bogota, Colombia</t>
  </si>
  <si>
    <t>Luna, GAA (corresponding author), Univ Pedag &amp; Tecnol Colombia, Tunja, Colombia.</t>
  </si>
  <si>
    <t>guillermo.arevalo@uptc.edu.co; ga.arevalo@uniandes.edu.co</t>
  </si>
  <si>
    <t>Abell J. D., 1988, PUBLIC INTEREST, V32, P11; Alston L., 2006, ELECTORAL FRAUD RISE; Arévalo Luna Guillermo Alexander, 2014, Apuntes del Cenes, V33, P109; Argentina, 2022, DAT ARG GAST PUBL CO; Baer J., 2014, PERONISM 21 CENTURY; Banco Central de la Republica Argentina -BCRA, 2022, POL MON; Banco Mundial, 2021, PIB US PREC ACT LAT; Banco Mundial, 2023, INFL PREC CONS AN AR; Beker V., 2022, DOLARIZAR DOLARIZAR; Berg A., 2000, IMF WORKING PAPERS; Blanchard O., 2022, MACROECONOMIA, V5; Blanchard O., 2015, INFLATION ACTIVITY 2; Bongiovanni G., 2017, ESTALLIDO POPULISMO, P169; Buera F., 2019, MONETARY FISCAL HIST; Calvo G. A., 2000, RES PAPERS EC; Cardenas M., 2015, INTRO EC COLOMBIANA, V4; Cavallo D., 2018, HIST EC ARGENTINA; Chadha B., 1990, IMF STAFF PAPERS, V2; Chang R., 2000, NBER WORKING PAPERS; De Gregorio J., 2007, MACROECONOMIA TEORIA; Dollar D, 2002, FOREIGN AFF, V81, P120, DOI 10.2307/20033007; Dornbusch R., 1990, TRIMEST ECON, V57, P121; Dornbusch R., 2015, MACROECONOMIA, V12; Ferrer A., 2021, ARGENTINE EC EC HIST; Ferrer A., 2015, ANALISIS, V4; Finchelstein F., 2018, FASCISMO POPULISMO H; Fondo Monetario Internacional, 2005, DOLL CONTR IS KEY BA; Fondo Monetario Internacional, 2012, IMF WORKING PAPERS; Fondo Monetario Internacional, 2000, ECON ISS, P24; Forbes Argentina, 2021, CUANT MILL ARG REC P; FRIEDMAN M, 1956, STUDIES QUANTITY THE, P3; Froyen R. T., 1993, MACROECONOMICS THEOR, V4a; Gomez G. P., 2010, DINERO BANCA MERCADO; Hanke S., 1999, FORDHAM J CORPORATE, V4; Harberger A. C., 2008, CATO J, V28, P225; Herrera V., 2007, BERKELEY REV LATIN A; Hora R., 2015, TERRATENIENTES PAMPA; Institute of Management and Development, 2022, RANK PUBL WORLD COMP; Instituto Nacional de Estadistica y Censos de la Republica Argentina -INDEC, 2003, POS INV INT ARG FIN; Kanenguiser M., 2022, QUE TIPO CAMBIO SE P; Krauze E., 2013, REDENTORES IDEAS POD, V1; La Nacion, 2022, NACION; Martocci F., 2018, HIST EC ARGENTINA ET; Ministerio de Trabajo Empleo y Seguridad Social de Argentina, 2022, EST; Oneil S., 2022, AM QUART; Organizacion para la Cooperacion y el Desarrollo Economicos -OCDE, 2019, EX SUMM OECD EC SURV; Quispe-Agnoli M., 2002, DOLLARIZATION LATIN; Sidicaro R., 1989, PAIS; Smink V., 2022, BBC NEWS MUNDO; Taylor J., 2012, PRINCIPIOS EC; Trotta M. E. V., 2003, METAMORFOSIS CLIENTE; Volcker P. A., 1991, PERSPECTIVES ROLE CE</t>
  </si>
  <si>
    <t>C2IB3</t>
  </si>
  <si>
    <t>WOS:000960204500006</t>
  </si>
  <si>
    <t>Porras-Alvarez, J; Duque-Vera, I</t>
  </si>
  <si>
    <t>Porras-Alvarez, J.; Duque-Vera, IL.</t>
  </si>
  <si>
    <t>CARDIAC AUTONOMIC MODULATION AND PHYSICAL PERFORMANCE AT THE FUNCTIONAL THRESHOLD POWER</t>
  </si>
  <si>
    <t>REVISTA INTERNACIONAL DE MEDICINA Y CIENCIAS DE LA ACTIVIDAD FISICA Y DEL DEPORTE</t>
  </si>
  <si>
    <t>Athlete; Autonomic Nervous System; Cardiac System; Exercise; Heart Rate Variability</t>
  </si>
  <si>
    <t>HEART-RATE-VARIABILITY; PARASYMPATHETIC REACTIVATION; CYCLISTS; RELIABILITY; SCIENCE</t>
  </si>
  <si>
    <t>The objective was to establish the relationship between cardiac autonomic modulation and physical performance of the functional threshold power (FTP20.95%W.kg-1). Twenty-nine male cyclists aged 22 +/- 3 years participated. The physical performance of the FTP20.95%W.kg-1 was 4.3 +/- 0.4. A positive relationship of performance with the parasympathetic index (PNS index) at rest, as well as with parasympathetic reactivity and recovery, R2 = 0.80, 0.97, 0.96 respectively, p&lt;0.000, was demonstrated. In conclusion, cyclists with higher physical performance had higher parasympathetic activity at rest. As well as greater parasympathetic reactivity and post-P20 recovery. Both the PNS index and the SNS index are parameters to identify adaptation/maladaptation to training intensity, presence of fatigue, monitor and predict physical performance according to functional power threshold in competitive level cyclists. Additionally, it raises a scenario for identification of genetic predisposition to long-term endurance sports.</t>
  </si>
  <si>
    <t>[Porras-Alvarez, J.] Univ Caldas, Ciencias Biomed, Manizales, Colombia; [Porras-Alvarez, J.] Univ Pedag &amp; Tecnol Colombia, Escuela Educ Fis Recreac &amp; Deporte, Chiquinquira, Colombia; [Duque-Vera, IL.] Univ Caldas, Dept Acc Fis Humana, Biol, Manizales, Colombia</t>
  </si>
  <si>
    <t>Universidad de Caldas; Universidad Pedagogica y Tecnologica de Colombia (UPTC); Universidad de Caldas</t>
  </si>
  <si>
    <t>Porras-Alvarez, J (corresponding author), Univ Caldas, Ciencias Biomed, Manizales, Colombia.;Porras-Alvarez, J (corresponding author), Univ Pedag &amp; Tecnol Colombia, Escuela Educ Fis Recreac &amp; Deporte, Chiquinquira, Colombia.</t>
  </si>
  <si>
    <t>javier.porras@uptc.edu.co; duqueivan@ucaldas.edu.co</t>
  </si>
  <si>
    <t>Abad CCC, 2014, INT J SPORTS MED, V35, P772, DOI 10.1055/s-0033-1363268; Ahmadian M, 2015, SPORT SCI HLTH, V11, P153; Al Haddad H, 2011, INT J SPORTS MED, V32, P598, DOI 10.1055/s-0031-1275356; Allen H, 2018, ENTRENAR CORRER CONP, V4th; Arslan E, 2016, J PHYS THER SCI, V28, P1325, DOI 10.1589/jpts.28.1325; Barak O, 2010, J SPORT; Bellenger CR, 2016, SPORTS MED, V46, P1461, DOI 10.1007/s40279-016-0484-2; Belli J, 2011, ARQ BRAS; Beneke R, 2003, EUR J APPL PHYSIOL, V89, P95, DOI 10.1007/s00421-002-0783-1; Berkoff DJ, 2007, J STRENGTH COND RES, V21, P227, DOI 10.1519/00124278-200702000-00041; Bonaduce D, 1998, MED SCI SPORT EXER, V30, P691, DOI 10.1097/00005768-199805000-00008; Borges NR, 2017, CLIN AUTON RES, V27, P83, DOI 10.1007/s10286-017-0398-6; Borszcz FK, 2019, INT J SPORT PHYSIOL, V14, P1029, DOI 10.1123/ijspp.2018-0572; Borszcz FK, 2018, INT J SPORTS MED, V39, P737, DOI 10.1055/s-0044-101546; Boullosa DA, 2014, INT J SPORTS MED, V35, P999, DOI 10.1055/s-0034-1372637; Buchheit M, 2009, EXP PHYSIOL, V94, P795, DOI 10.1113/expphysiol.2009.048041; De Pauw K, 2013, INT J SPORT PHYSIOL, V8, P111, DOI 10.1123/ijspp.8.2.111; Denham J, 2020, J STRENGTH COND RES, V34, P3489, DOI 10.1519/JSC.0000000000002253; Dong JG, 2016, EXP THER MED, V11, P1531, DOI 10.3892/etm.2016.3104; Earnest CP, 2004, BRIT J SPORT MED, V38, P568, DOI 10.1136/bjsm.2003.005140; Ebert TR, 2006, INT J SPORT PHYSIOL, V1, P324, DOI 10.1123/ijspp.1.4.324; Faria EW, 2005, SPORTS MED, V35, P285, DOI 10.2165/00007256-200535040-00002; Flatt AA, 2019, SPORTS, V7, DOI 10.3390/sports7100225; Gamelin FX, 2006, MED SCI SPORT EXER, V38, P887, DOI 10.1249/01.mss.0000218135.79476.9c; Gourine AV, 2019, PHYSIOLOGY, V34, P71, DOI 10.1152/physiol.00041.2018; Javaloyes A, 2020, J STRENGTH COND RES, V34, P1511, DOI 10.1519/JSC.0000000000003337; Kang H, 2021, J EDUC EVAL HEALTH P, V18; Kingsley JD, 2016, CLIN PHYSIOL FUNCT I, V36, P179, DOI 10.1111/cpf.12223; Machhada A, 2017, NAT COMMUN, V8, DOI 10.1038/ncomms15097; Marocolo M, 2007, BRAZ J MED BIOL RES, V40, P199, DOI 10.1590/S0100-879X2006005000068; Miranda-Mendoza J, 2020, REV INT MED CIENC AC, V20, P21, DOI 10.15366/rimcafd2020.77.002; Molina GE, 2013, CLIN AUTON RES, V23, P141, DOI 10.1007/s10286-013-0196-8; Nino W, 2019, THESIS U PEDAGOGICA; Oliveira AB, 2017, NEUROIMMUNOMODULAT, V24, P293, DOI 10.1159/000487141; Oliveira-Silva I, 2018, PLOS ONE, V13, DOI 10.1371/journal.pone.0209834; Palak Klaudia, 2013, Folia Med Cracov, V53, P43; Passfield L, 2017, J SPORT SCI, V35, P1426, DOI 10.1080/02640414.2016.1215504; Pinot J, 2011, INT J SPORTS MED, V32, P839, DOI 10.1055/s-0031-1279773; Povea C, 2005, HIGH ALT MED BIOL, V6, P215, DOI 10.1089/ham.2005.6.215; Saboul D, 2013, EUR J SPORT SCI, V13, P534, DOI 10.1080/17461391.2013.767947; Sanders D, 2020, J STRENGTH COND RES, V34, P3482, DOI 10.1519/JSC.0000000000001910; Schafer D, 2015, EUR J APPL PHYSIOL, V115, P2107, DOI 10.1007/s00421-015-3190-0; Schafer D, 2015, MED SCI SPORT EXER, V47, P48, DOI 10.1249/01.mss.0000476531.84848.dd; Scorcine C, 2019, J EXERC PHYSL ONLINE, V22, P157; Stanley J, 2013, SPORTS MED, V43, P1259, DOI 10.1007/s40279-013-0083-4; Valenzuela PL, 2018, INT J SPORT PHYSIOL, V13, P1293, DOI 10.1123/ijspp.2018-0008; Verweij N, 2018, NAT COMMUN, V9, DOI 10.1038/s41467-018-03395-6; White DW, 2014, J PHYSIOL-LONDON, V592, P2491, DOI 10.1113/jphysiol.2014.271858</t>
  </si>
  <si>
    <t>RED IRIS</t>
  </si>
  <si>
    <t>MADRID</t>
  </si>
  <si>
    <t>EDIF BRONCE, PLAZA DE MANUEL GOMEZ MORENO, S-N 2A PLANTA, MADRID, 28020, SPAIN</t>
  </si>
  <si>
    <t>1577-0354</t>
  </si>
  <si>
    <t>REV INT MED CIENC AC</t>
  </si>
  <si>
    <t>Rev. Int. Med. Cienc. Act. Fis. Dep.</t>
  </si>
  <si>
    <t>10.15366/rimcafd2023.89.027</t>
  </si>
  <si>
    <t>Sport Sciences</t>
  </si>
  <si>
    <t>G1JY2</t>
  </si>
  <si>
    <t>WOS:000986815500014</t>
  </si>
  <si>
    <t>Gomez, SAS; Guerrero, FG; Cubides, PAS</t>
  </si>
  <si>
    <t>Gomez, Segundo Abrahan Sanabria; Guerrero, Fernando Guio; Cubides, Pedro Alfonso Sanchez</t>
  </si>
  <si>
    <t>The rights of the poor in Colombia: Position of the Constitutional Court</t>
  </si>
  <si>
    <t>JURIDICAS CUC</t>
  </si>
  <si>
    <t>Fundamental rights; political economy; poverty; redistribution</t>
  </si>
  <si>
    <t>The 1991 Political Constitution of Colombia, it is established that the social market economy is the economic model that prevails in Colombia, in which the Social State of Law, under the principle of soli-darity, seeks to protect and guarantee the funda-mental rights of all the citizens. In this situation, the State acts through politicians and judges to protect the rights of the poor. Consequently, this research asks how the Social State of Law intends to guarantee the fundamental rights of the poor in Colombia? The objective is to collect and expose those theoretical, methodological and jurisprudential elements, through which the Colombian State seeks to guarantee the fundamental rights of the poor. Through a qualitative-interpretative method on the jurisprudential development, results are obtained that allow concluding that the Colombian State seeks to guarantee the fundamental rights of the poor through an instrument of political economy, around solidarity, which consists of legitimizing a process of redistribution of available wealth. The results of this research are unprecedented in the social sci-ences and constitute a central piece for the scientific study of poverty, since they articulate the economic, legal and political sciences, allowing the integration between poverty and wealth.</t>
  </si>
  <si>
    <t>[Gomez, Segundo Abrahan Sanabria; Cubides, Pedro Alfonso Sanchez] Univ Pedag &amp; Tecnol Colombia, Tunja, Colombia; [Guerrero, Fernando Guio] Minist Transporte, Bogota, Colombia</t>
  </si>
  <si>
    <t>Gomez, SAS (corresponding author), Univ Pedag &amp; Tecnol Colombia, Tunja, Colombia.</t>
  </si>
  <si>
    <t>segundo.sanabria@uptc.edu.co; bguio@mintransporte.gov.co; pedro.sanchez@uptc.edu.co</t>
  </si>
  <si>
    <t>Abramo L., 2019, PROGRAMAS SOCIALES S; Abramovich V., 2009, PROTECCION JUDICIAL, P3; Akindola RB, 2009, J DEV SOC, V25, P121, DOI 10.1177/0169796X0902500201; Alper K, 2021, SOC FORCES, V99, P1710, DOI 10.1093/sf/soaa073; Arango R., 2010, NUEVO FORO PENAL, V6, P11; Arteaga A., 2005, CORRUPCION DERECHOS, P81; Banco Mundial, 2018, ARM ROMP POBR PAN GE; Barrientos A., 2008, 30 BROOKS WORLD POV, DOI [10.2139/ssrn.1265576, DOI 10.2139/SSRN.1265576]; Beytia P., 2017, CUADERNOS ISUC, V2, P1; Bloom D., 2003, J HUMAN DEV, V4, P47, DOI DOI 10.1080/1464988032000051487; Boltvinik J., 2006, DESACATOS, P53, DOI [10.29340/23.634, DOI 10.29340/23.634]; Cabrillo F., 2011, ANAL EC ADM JUSTICIA; Castaño Peña Jairo Andrés, 2013, Rev. Derecho Estado, P119; CE, 1961, CART SOC EUR REV; Cecchini Simone, 2011, PROTECCION SOCIAL IN; CIDH, 2017, POBR DER HUM; Cifuentes E., 1995, DEREITO, V4, P53; Clemente Ponce S.J. Fernando, 2011, Univ. philos., V28, P37; Datt G, 2019, WORLD BANK ECON REV, V33, P551, DOI 10.1093/wber/lhx017; De Roux C., 2004, DERECHOS EC SOCIALES; Die Olmos L., 2002, REV CASTELLANO MANCH, P51, DOI [10.20932/barataria.v0i5.258, DOI 10.20932/BARATARIA.V0I5.258]; Engler M, 2000, J RELIG ETHICS, V28, P339, DOI 10.1111/0384-9694.00053; Ferraz OLM, 2011, TEX LAW REV, V89, P1643; Forbath WE, 2001, FORDHAM LAW REV, V69, P1821; Galanter M, 2004, HASTINGS LAW J, V55, P789; Galiani S, 2010, J PUBLIC ECON, V94, P700, DOI 10.1016/j.jpubeco.2010.06.002; Gloppen S, 2007, ICON-INT J CONST LAW, V5, P258, DOI 10.1093/icon/mom002; HALLEROD B, 1997, BREADLINE BRITAIN 19, P213; Kahneman D, 2012, PENSAR RAPIDO PENSAR; Kahneman D., 2021, RUIDO FALLA JUICIO H; Laderchi C. R., 2003, OXF DEV STUD, V31, P243, DOI [DOI 10.1080/1360081032000111698, 10.1080/1360081032000111698]; Lopez C., 2010, REV DERECHO ESTADO, P9; Marina Clemente José Antonio, 2018, Nova scientia, V10, P539, DOI 10.21640/ns.v10i20.1159; Martin A, 2019, CAMB J ECON, V43, P205, DOI 10.1093/cje/bey010; Max-Neef M., 2010, DEV DIALOGUE, P1; Mayorga Coy Angie, 2018, Trab. soc., V20, P163; Medellin C., 2020, LEGIS 0825; Molotsky A, 2021, J AFR ECON, V30, P207, DOI 10.1093/jae/ejaa010; Negro D., 2011, DESIGUALDAD INCLUSIO, P97; OIT, 2017, WORLD SOC PROT REP U; ONU, 1966, PACTO INT DERECHOS E; Osuna N., 2007, TEORIA CONSTITUCIONA, P165; Perez L., 2007, DERECHOS SOCIALES SE, P71; PNUD. CEPAL. IPEA, 2003, HAC OBJ MIL RED POBR; Pogge Pogge Thomas Thomas, 2011, YALE HUMAN RIGHTS DE, V14 14, P1; Pogge T., 2014, CHALLENGES INT HUMAN, V3, P721, DOI [10.4324/9781315095905-22, DOI 10.4324/9781315095905-22]; Pogge Thomas, 2005, LEIDEN J INT LAW, V18, P717, DOI DOI 10.1017/S0922156505002980; Rajagopal B, 2007, HUM RIGHTS REV, V8, P157, DOI 10.1007/s12142-007-0004-8; Republica de Colombia. Asamblea Nacional Constituyente, 1991, CONSTITUCION POLITIC; Republica de Colombia. Corte Constitucional, 1992, SENT T 406 MP CIR AN; Republica de Colombia. Corte Constitucional, 1993, SENT T 240; Republica de Colombia. Corte Constitucional, 1992, SENT T 571 MP J SAN; Republica de Colombia. Corte Constitucional, 2013, SENT C 753 MP MAUR G; Republica de Colombia. Corte Constitucional, 2006, SENT T 223 MP CLAR I; Republica de Colombia. Corte Constitucional, 1992, SENT T 002; Republica de Colombia. Corte Constitucional, 1992, SENT T 402 MP ED CIF; Republica de Colombia. Corte Constitucional, 2014, SENT T 890 MAG PON M; Republica de Colombia. Corte Constitucional, 1992, SENT T 420 MP SIM RO; Republica de Colombia. Corte Constitucional, 2003, SENT T 227; Republica de Colombia. Corte Constitucional, 1992, SENT T 419 MP JAIM S; Republica de Colombia. Corte Constitucional, 1998, SENT T 801; Republica de Colombia. Corte Constitucional, 2007, SENT T 043; Republica de Colombia. Corte Constitucional, 2002, SENT T 881; Republica de Colombia. Corte Constitucional, 2003, SENT C 1036 MP CLAR; Republica de Colombia. Corte Constitucional, 1992, SENT T 533 MP ED CIF; Republica de Colombia. Corte Constitucional, 1992, SENT T 426 MP ED CIF; Republica de Colombia. Corte Constitucional, 1999, SENT T 010 MP ALFR B; Resico M., 2016, NSAYOS POLITICA ECON, V2, P149; Salgar L., 2002, PRECEDENTE, P93, DOI [10.18046/prec.v0.1393, DOI 10.18046/PREC.V0.1393]; Sanabria S., 2022, EC SOCIAL MERCADO CO; Sen A., 1992, COMERCIO EXTERIOR, V42, P310; Shahrawat R, 2012, HEALTH POLICY PLANN, V27, P213, DOI 10.1093/heapol/czr029; Skogly S, 2002, HUM RIGHTS LAW REV, V2, P59, DOI DOI 10.1093/HRLR/2.1.59; Sonin K, 2003, J COMP ECON, V31, P715, DOI 10.1016/j.jce.2003.09.005; Spicker P., 2009, DEFINICIONES POBREZA; Townsend P., 2003, COMERCIO EXTERIOR, V53, P445; Turner K, 2007, J HUM BEHAV SOC ENVI, V16, P57, DOI 10.1300/J137v16n01_05; Uprimny R., 2007, DERECHOS SOCIALES SE, P23; Villan C., 2009, DERECHOS ECONOMICOS, P9; Wood G, 2003, WORLD DEV, V31, P455, DOI 10.1016/S0305-750X(02)00213-9; Zevenbergen J, 2013, LAND USE POLICY, V31, P595, DOI 10.1016/j.landusepol.2012.09.005</t>
  </si>
  <si>
    <t>1692-3030</t>
  </si>
  <si>
    <t>2389-7716</t>
  </si>
  <si>
    <t>JURID CUC</t>
  </si>
  <si>
    <t>Jurid. CUC</t>
  </si>
  <si>
    <t>10.17981/juridcuc.19.1.2023.05</t>
  </si>
  <si>
    <t>Law</t>
  </si>
  <si>
    <t>Government &amp; Law</t>
  </si>
  <si>
    <t>8O7BO</t>
  </si>
  <si>
    <t>WOS:000925989000001</t>
  </si>
  <si>
    <t>Gomez-Monroy, CA; Hoyos-Gomez, LK; Acosta-Costilla, AF; Munoz-Torres, LD; Fernandez-Avila, DG</t>
  </si>
  <si>
    <t>Gomez-Monroy, Carlos A.; Hoyos-Gomez, Laura K.; Acosta-Costilla, Alvaro F.; Munoz-Torres, Laura D.; Fernandez-Avila, Daniel G.</t>
  </si>
  <si>
    <t>Prevalence of congenital heart disease in relation to height above sea level in a region of Colombia</t>
  </si>
  <si>
    <t>ARCHIVOS DE CARDIOLOGIA DE MEXICO</t>
  </si>
  <si>
    <t>Congenital heart disease; High altitude; Down syndrome; Diagnosis; Colombia</t>
  </si>
  <si>
    <t>DEFECTS; MALFORMATIONS; CHILDREN</t>
  </si>
  <si>
    <t>Introduction: Congenital heart diseases are the most common congenital disorders in the world population, they generally manifest after birth. Altitudes between 2,500-3,500 meters above sea level have been linked to the high incidence of congenital heart diseases such as patent ductus arteriosus, atrial septum defects, and ventricular septum defects. Objetives: To characterize clinically and sociodemographically the patients diagnosed with congenital heart disease from low, moderate and high altitudes in a regional hospital in Colombia. Methodology: Observational, descriptive retrospective study. All patients under 18 years of age with a diagnosis of congenital heart disease, treated at the San Rafael de Tunja University Hospital between 2015 and 2021, were included. Results: 51.9% of the patients were male, 16.3% had a history of prematurity and 9.1% had a diagnosis of Down syndrome. The most frequent heart diseases were: persistent ductus arteriosus 35.1%, followed by ventricular communication representing 21.6% and intra-atrial communication with 19.7%). Conclusions: They must eestablish strategies such as screening and timely diagnosis of congenital heart disease in at-risk populations in order to improve the life prognosis of patients and the outcome of the disease.</t>
  </si>
  <si>
    <t>[Gomez-Monroy, Carlos A.] Univ Pedag &amp; Tecnol Colombia, Serv Cardiol Pediat, Hosp Univ San Rafael, Bogota, Colombia; [Hoyos-Gomez, Laura K.; Fernandez-Avila, Daniel G.] Univ Pedag &amp; Tecnol Colombia, Div Invest, Hosp Univ San Rafael, Bogota, Colombia; [Acosta-Costilla, Alvaro F.] Univ Pedag &amp; Tecnol Colombia, Fac Med, Bogota, Colombia; [Munoz-Torres, Laura D.] Univ Boyaca, Fac Med, Boyaca, Tunja, Colombia</t>
  </si>
  <si>
    <t>Hoyos-Gomez, LK (corresponding author), Univ Pedag &amp; Tecnol Colombia, Div Invest, Hosp Univ San Rafael, Bogota, Colombia.</t>
  </si>
  <si>
    <t>laurilahoyosgomez@gmail.com</t>
  </si>
  <si>
    <t>Alonso-Acosta José Gerardo, 2019, Rev. mex. pediatr., V86, P4; Duque PA, 2018, ENFERM CLIN, V28, P300, DOI 10.1016/j.enfcli.2018.03.003; Auger N, 2015, JAMA-J AM MED ASSOC, V314, P1588, DOI 10.1001/jama.2015.12505; Baltaxe Erik, 2006, Arch. Cardiol. Méx., V76, P263; Castaneda MAC, 2015, REV PERUANA CARDIOLO, V41, P136; Figueroa J, 2003, REV ESP CARDIOL, V56, P894; Gallardo-Meza AF, 2021, SALUD JALISCO, V7, P151; García Alberto, 2017, Rev. Colomb. Cardiol., V24, P161, DOI 10.1016/j.rccar.2016.06.012; Garcia A, 2016, PEDIATR CARDIOL, V37, P1507, DOI 10.1007/s00246-016-1464-x; Kim MA, 2014, J KOREAN MED SCI, V29, P1544, DOI 10.3346/jkms.2014.29.11.1544; Leirgul E, 2014, AM HEART J, V168, P956, DOI 10.1016/j.ahj.2014.07.030; Lisowski LA, 2010, HERZ, V35, P19, DOI 10.1007/s00059-010-3244-3; Martinez M, 2015, PROTOCOLO VIGILANCIA; Mellera CH, 2020, ARCH ARGENT PEDIATR, V118, P149; Capurro NN, 2020, REV CHIL PEDIATR-CHI, V91, P732, DOI 10.32641/rchped.vi91i5.1518; Nazer J, 2011, REV MED CHILE, V139, P72, DOI [10.4067/S0034-98872011000100010, /S0034-98872011000100010]; Pei LL, 2017, BMC PEDIATR, V17, DOI 10.1186/s12887-017-0784-1; Quesada TQ, 2014, ACTA MEDICA CTR, V3, P149; Ruz-Montes Miguel A., 2017, Rev. Colomb. Cardiol., V24, P66, DOI 10.1016/j.rccar.2016.06.014; Santos-Martinez LE, 2021, ARCH CARDIOL MEX, V91, P500, DOI [10.24875/acm.20000447, 10.24875/ACM.20000447]; Siuffi-Campo S., 2021, SALUTEM SCIENTIA SPI, V7, P16; Villegas Arenas OA, 2020, REV MED, V28; Wu WL, 2020, MEDICINE, V99, DOI 10.1097/MD.0000000000020593; Zhao QM, 2019, J PEDIATR-US, V204, P53, DOI 10.1016/j.jpeds.2018.08.040</t>
  </si>
  <si>
    <t>INST NACIONAL CARDIOLOGIA IGNACIO CHAVEZ</t>
  </si>
  <si>
    <t>DEPT PUBLICACIONES, JUAN BADIANO NO 1, COL. SECCION XVI, DELEGACION TLALPAN, MEXICO CITY, D F 00000, MEXICO</t>
  </si>
  <si>
    <t>1405-9940</t>
  </si>
  <si>
    <t>ARCH CARDIOL MEX</t>
  </si>
  <si>
    <t>Arch. Cardiol. Mex.</t>
  </si>
  <si>
    <t>10.24875/ACM.21000325</t>
  </si>
  <si>
    <t>Cardiac &amp; Cardiovascular Systems; Peripheral Vascular Disease</t>
  </si>
  <si>
    <t>Cardiovascular System &amp; Cardiology</t>
  </si>
  <si>
    <t>8P8AY</t>
  </si>
  <si>
    <t>WOS:000926742200005</t>
  </si>
  <si>
    <t>Mesa, MLO; Menjura, WAM</t>
  </si>
  <si>
    <t>Mesa, Marian Lissett Olaya; Menjura, Willian Alexander Mora</t>
  </si>
  <si>
    <t>Exploring Autonomous Language Learning Behaviors through Video Sharing and Online Discussions in Higher Education1</t>
  </si>
  <si>
    <t>autonomous language learning; computer-assisted language learning; coronavirus pandemic; online discussions; video sharing</t>
  </si>
  <si>
    <t>This study explores the way in which video sharing and online discussions foster learning autonomy in English language classes at a public university during the lockdown established by the Colombian government because of the coronavirus pandemic. This study was conducted with 127 engineering and administration undergraduates from a public university in the department of Boyaca. It was a qualitative case study that aimed to identify the extent to which video sharing and online discussions increase learner's autonomous behaviors in English language learning. The instruments for data collection were student journals and artifacts such as video recordings and online discussions, interviews, and questionnaires. An open coding analysis was performed, and the results revealed that the degrees of autonomous behaviors could be gradually fostered by the implementation of video sharing. The results also indicated that students are receptive to online writing discussions, and showed how motivation plays a vital role in learning English and the achievement of the learning goals set by the students themselves.</t>
  </si>
  <si>
    <t>[Mesa, Marian Lissett Olaya] Univ Cartagena, Bolivar, Colombia; [Mesa, Marian Lissett Olaya; Menjura, Willian Alexander Mora] Univ Pedag &amp; Tecnol Colombia, Boyaca, Colombia</t>
  </si>
  <si>
    <t>Universidad de Cartagena; Universidad Pedagogica y Tecnologica de Colombia (UPTC)</t>
  </si>
  <si>
    <t>Mesa, MLO (corresponding author), Univ Cartagena, Bolivar, Colombia.</t>
  </si>
  <si>
    <t>molayam@unicartagena.edu.co; willian.2012@uptc.edu.co</t>
  </si>
  <si>
    <t>Al-Asmari Abdulrahman Khazim, 2013, Egyptian Journal of Natural History, V6, P1, DOI 10.4314/ejnh.v6i1.1; Algozzine B., 2006, DOING CASE STUDY RES; Bedoya PA, 2014, HOW, V21, P82, DOI 10.19183/how.21.1.16; Bajrami L, 2015, PROCD SOC BEHV, V199, P423, DOI 10.1016/j.sbspro.2015.07.528; Benevenuto F, 2010, J INF DATA MANAG, V1, P261; Blair E., 2015, J METHODS MEAS SOC S, V6, P14, DOI [DOI 10.2458/V6I1.18772, 10.2458/v6i1.18772, DOI 10.2458/AZU_JMMSS_V6I1_BLAIR]; Boateng Richard, 2016, Smart Learning Environments, V3, DOI 10.1186/s40561-016-0031-5; Dang TT., 2012, INTERNET J LANGUAGE, V35, P52; Ramirez MID, 2014, HOW, V21, P54, DOI 10.19183/how.21.2.4; Farivar A, 2015, PROCD SOC BEHV, V192, P644, DOI 10.1016/j.sbspro.2015.06.112; Flores J. F., 2015, REV EDUCACAO CULTURA, V5, P1895; Gamble C., 2012, P JALT2011 C P, P263; Guaqueta C. A., 2018, ENGLISH LANGUAGE TEA, V11, P61; Harrison H., 2017, FORUM QUALITATIVE SO, V18, P1, DOI [DOI 10.17169/FQS-18.1.2655, 10.17169/fqs-18.1.2655]; Jalaluddin M., 2016, ENGL SPECIF PURP, V17, P1; Khotimah K., 2019, INDONESIAN J APPL LI, V9, P371, DOI [10.17509/ijal.v9i2.20234, DOI 10.17509/IJAL.V9I2.20234]; Kormos J, 2014, TESOL QUART, V48, P275, DOI 10.1002/tesq.129; Loi N. V., 2017, CAN THO U J SCI, V7, P118, DOI DOI 10.22144/CTU.JEN.2017.057; Martinez Hernandez M., 2018, ENGLISH LANGUAGE TEA, V11, P106, DOI [10.5539/elt.v11n12p106, DOI 10.5539/ELT.V11N12P106]; Masouleh NS, 2012, PROCD SOC BEHV, V55, P835, DOI 10.1016/j.sbspro.2012.09.570; Mathers NJ, 1998, SURVEYS QUESTIONNAIR, P1; McIntosh MJ, 2015, GLOB QUALIT NURS RES, V2, DOI 10.1177/2333393615597674; Melo E., 2020, J SMALL BUS STRATEGY, V30, P58; Nejati E., 2018, CYPRIOT J ED SCI, V13, P351; Noriega H. S. R., 2016, TEFLIN J, V27, P182, DOI DOI 10.15639/TEFLINJ0URNAL.V27I1/182-202; Nunan David, 2003, PRACTICAL ENGLISH LA; Alpala CAO, 2011, HOW, V18, P154; Herrera LJP, 2018, TESL CAN J, V35, P128, DOI 10.18806/tesl.v35i2.193; Espinosa AR, 2015, HOW, V22, P114, DOI 10.19183/how.22.2.137; Rojas Y. A., 2018, ENLETAWA J, V11, P91, DOI [10.19053/2011835X.8977, DOI 10.19053/2011835X.8977]; Shakarami A, 2016, INT J INSTR, V9, P167, DOI 10.12973/iji.2016.9212a; Stanchevici D, 2019, TESL CAN J, V36, P132, DOI 10.18806/tesl.v36i3.1324; Wang YH, 2017, SYMMETRY-BASEL, V9, DOI 10.3390/sym9080141; Xie K, 2011, BRIT J EDUC TECHNOL, V42, P916, DOI 10.1111/j.1467-8535.2010.01140.x; Yin R.K., 2012, APA HDB RES METHODS, P141, DOI DOI 10.1037/13620-009; Yuliani Y., 2017, INDONESIAN J APPL LI, V7, P285, DOI 10.17509/ijal.v7i2.8131; Zaidi A., 2018, INT J ACAD RES BUSIN, V8, P541</t>
  </si>
  <si>
    <t>10.14483/22487085.17827</t>
  </si>
  <si>
    <t>4K6GY</t>
  </si>
  <si>
    <t>WOS:000852046800003</t>
  </si>
  <si>
    <t>Yaguna, CE; Zapata, O</t>
  </si>
  <si>
    <t>Yaguna, Carlos E.; Zapata, Oscar</t>
  </si>
  <si>
    <t>Fermion and scalar two-component dark matter from a Z(4) symmetry</t>
  </si>
  <si>
    <t>PHYSICAL REVIEW D</t>
  </si>
  <si>
    <t>HIGGS; MODEL</t>
  </si>
  <si>
    <t>We revisit a two-component dark matter model in which the dark matter particles are a singlet fermion (psi) and a singlet scalar (S), both stabilized by a single Z(4) symmetry. The model-proposed by Cai and Spray-is remarkably simple, with its phenomenology determined by just five parameters: the two dark matter masses and three dimensionless couplings. In fact, S interacts with the Standard Model particles via the usual Higgs portal, whereas psi only interacts directly with S, via the Yukawa terms (psi(c)) over bar (y(s)+y(p)gamma 5())psi S. We consider the two possible mass hierarchies among the dark matter particles, M-S &lt; M-psi and M-psi &lt; M-S, and numerically investigate the consistency of the model with current bounds. The main novelties of our analysis are the inclusion of the yp coupling, the update of the direct-detection limits, and a more detailed characterization of the viable parameter space. For dark matter masses below 1.3 TeVor so, we find that not only is the model compatible with all known constraints, but it also gives rise to observable signals in future dark matter experiments. Our results show that both dark matter particles may be observed in directdetection experiments and that the most relevant indirect-detection channel is due to the annihilation of.. We also argue that this setup can be extended to other ZN symmetries and additional dark matter particles.</t>
  </si>
  <si>
    <t>[Yaguna, Carlos E.] Univ Pedag &amp; Tecnol Colombia, Escuela Fis, Ave Cent Norte 39-115, Tunja, Colombia; [Zapata, Oscar] Univ Antioquia, Inst Fis, Calle 70 52-21,Apartado Aereo 1226, Medellin, Colombia</t>
  </si>
  <si>
    <t>Universidad Pedagogica y Tecnologica de Colombia (UPTC); Universidad de Antioquia</t>
  </si>
  <si>
    <t>Yaguna, CE (corresponding author), Univ Pedag &amp; Tecnol Colombia, Escuela Fis, Ave Cent Norte 39-115, Tunja, Colombia.</t>
  </si>
  <si>
    <t>Zapata, Oscar/0000-0001-5533-4014</t>
  </si>
  <si>
    <t>Sostenibilidad-Universidad de Antioquia (UdeA); UdeA/Comite para el Desarrollo de la Investigacion (CODI) [2017-16286, 2020-33177]; Ministerio de Ciencias [80740-492-2021]</t>
  </si>
  <si>
    <t>Sostenibilidad-Universidad de Antioquia (UdeA); UdeA/Comite para el Desarrollo de la Investigacion (CODI); Ministerio de Ciencias</t>
  </si>
  <si>
    <t>The work of O. Z. is supported by Sostenibilidad-Universidad de Antioquia (UdeA), the UdeA/Comite para el Desarrollo de la Investigacion (CODI) Grants 2017-16286 and 2020-33177. O. Z. additionally received funding from Ministerio de Ciencias through the Grant 80740-492-2021.</t>
  </si>
  <si>
    <t>Aalbers J., 2016, J COSMOL ASTROPART P, V2016, DOI [10.1088/1475-7516/2016/11/017, DOI 10.1088/1475-7516/2016/11/017]; Ackermann M., 2015, PHYS REV LETT, V115; Aghanim N, 2020, ASTRON ASTROPHYS, V641, DOI 10.1051/0004-6361/201833886; Ahmed A, 2018, EUR PHYS J C, V78, DOI 10.1140/epjc/s10052-018-6371-2; Akerib DS, 2020, PHYS REV D, V101, DOI 10.1103/PhysRevD.101.052002; Aprile E., 2018, PHYS REV LETT, V121, P111302, DOI [10.1103/PhysRevLett.121.111302, DOI 10.1103/PHYSREVLETT.120.055001]; Arcadi G, 2018, EUR PHYS J C, V78, DOI 10.1140/epjc/s10052-018-5662-y; Arcadi G, 2016, J HIGH ENERGY PHYS, DOI 10.1007/JHEP12(2016)081; ATLAS collaboration, 2020, ATLASCONF2020008; Ayazi SY, 2019, EUR PHYS J C, V79, DOI 10.1140/epjc/s10052-019-6651-5; Baer H, 2011, J COSMOL ASTROPART P, DOI 10.1088/1475-7516/2011/06/031; Barger V, 2009, PHYS REV D, V79, DOI 10.1103/PhysRevD.79.015018; Batell B, 2011, PHYS REV D, V83, DOI 10.1103/PhysRevD.83.035006; Belanger G, 2022, PHYS REV D, V105, DOI 10.1103/PhysRevD.105.035018; Belanger G, 2015, COMPUT PHYS COMMUN, V192, P322, DOI 10.1016/j.cpc.2015.03.003; Belanger G., J HIGH ENERGY PHYS, V09, P030; Belanger G, 2014, J COSMOL ASTROPART P, DOI 10.1088/1475-7516/2014/06/021; Belanger G, 2012, J COSMOL ASTROPART P, DOI 10.1088/1475-7516/2012/04/010; Belanger G, 2012, J COSMOL ASTROPART P, DOI 10.1088/1475-7516/2012/03/038; Bernal N, 2019, PHYS REV D, V99, DOI 10.1103/PhysRevD.99.015038; Bernal N, 2017, INT J MOD PHYS A, V32, DOI 10.1142/S0217751X1730023X; Bertone G, 2005, PHYS REP, V405, P279, DOI 10.1016/j.physrep.2004.08.031; Betancur A, 2021, NUCL PHYS B, V962, DOI 10.1016/j.nuclphysb.2020.115276; Bhattacharya S, 2019, J HIGH ENERGY PHYS, DOI 10.1007/JHEP02(2019)059; Bhattacharya S, 2017, J HIGH ENERGY PHYS, DOI 10.1007/JHEP10(2017)088; Bhattacharya S, 2017, J COSMOL ASTROPART P, DOI 10.1088/1475-7516/2017/04/043; Biswas A, 2015, J HIGH ENERGY PHYS, DOI 10.1007/JHEP04(2015)065; Boehm C, 2004, PHYS REV D, V69, DOI 10.1103/PhysRevD.69.101302; Borah D., PHYS REV D, V100; Burgess CP, 2001, NUCL PHYS B, V619, P709, DOI 10.1016/S0550-3213(01)00513-2; Cai Y, 2016, J HIGH ENERGY PHYS, DOI 10.1007/JHEP01(2016)087; Cao Q.-H, ARXIV 07113881; Carvajal CDR, 2022, PHYS REV D, V105, DOI 10.1103/PhysRevD.105.015003; Carvajal CDR, 2019, PHYS REV D, V99, DOI 10.1103/PhysRevD.99.075009; Charles E, 2016, PHYS REP, V636, P1, DOI 10.1016/j.physrep.2016.05.001; Choi S.M., J HIGH ENERGY PHYS, V09, P028; Cline JM, 2013, PHYS REV D, V88, DOI 10.1103/PhysRevD.88.055025; D'Eramo F, 2010, J HIGH ENERGY PHYS, DOI 10.1007/JHEP06(2010)109; Esch S, 2014, J HIGH ENERGY PHYS, DOI 10.1007/JHEP09(2014)108; Esch S, 2013, PHYS REV D, V88, DOI 10.1103/PhysRevD.88.075017; Hall LJ, 2010, J HIGH ENERGY PHYS, DOI 10.1007/JHEP03(2010)080; Hambye T, 2009, J HIGH ENERGY PHYS, DOI 10.1088/1126-6708/2009/01/028; Hur T, 2008, PHYS REV D, V77, DOI 10.1103/PhysRevD.77.015008; Ivanov IP, 2012, PHYS REV D, V86, DOI 10.1103/PhysRevD.86.016004; Jungman G, 1996, PHYS REP, V267, P195, DOI 10.1016/0370-1573(95)00058-5; Kim YG, 2007, PHYS REV D, V75, DOI 10.1103/PhysRevD.75.115012; Lee HS, 2008, PHYS LETT B, V663, P255, DOI 10.1016/j.physletb.2008.03.065; Lee KY, 2008, J HIGH ENERGY PHYS, DOI 10.1088/1126-6708/2008/05/100; Liu ZP, 2011, EUR PHYS J C, V71, DOI 10.1140/epjc/s10052-011-1749-4; Lopez-Honorez L, 2012, PHYS LETT B, V716, P179, DOI 10.1016/j.physletb.2012.07.017; Ma Ernest, 2006, Annales de la Fondation Louis de Broglie, V31, P285; MCDONALD J, 1994, PHYS REV D, V50, P3637, DOI 10.1103/PhysRevD.50.3637; Modak KP, 2015, J COSMOL ASTROPART P, DOI 10.1088/1475-7516/2015/03/011; Mohamadnejad A, J HIGH ENERGY PHYS, V03, P188; Nanda D, 2020, EUR PHYS J C, V80, DOI 10.1140/epjc/s10052-020-8122-4; Pandey M, 2018, J COSMOL ASTROPART P, DOI 10.1088/1475-7516/2018/06/023; Patt B., ARXIVHEP PH0605188; Poulin A, 2019, PHYS REV D, V99, DOI 10.1103/PhysRevD.99.076008; Profumo S, 2009, J COSMOL ASTROPART P, DOI 10.1088/1475-7516/2009/12/016; Queiroz FS, 2019, J COSMOL ASTROPART P, DOI 10.1088/1475-7516/2019/04/048; Saez B., J HIGH ENERGY PHYS, V10, P233; Sanchez J., ARXIV201211621; SILVEIRA V, 1985, PHYS LETT B, V161, P136, DOI 10.1016/0370-2693(85)90624-0; Silverwood H, 2015, J COSMOL ASTROPART P, DOI 10.1088/1475-7516/2015/03/055; Sirunyan A.M., 2019, CMS PHYS LETT B 793, V793, P520, DOI 10.1016/j.physletb.2019.04.025; Steigman G, 2012, PHYS REV D, V86, DOI 10.1103/PhysRevD.86.023506; Yaguna C. E., 2020, J HIGH ENERGY PHYS, V03; Yaguna C. E., J HIGH ENERGY PHYS, V10, P185; Zurek KM, 2009, PHYS REV D, V79, DOI 10.1103/PhysRevD.79.115002</t>
  </si>
  <si>
    <t>AMER PHYSICAL SOC</t>
  </si>
  <si>
    <t>COLLEGE PK</t>
  </si>
  <si>
    <t>ONE PHYSICS ELLIPSE, COLLEGE PK, MD 20740-3844 USA</t>
  </si>
  <si>
    <t>2470-0010</t>
  </si>
  <si>
    <t>2470-0029</t>
  </si>
  <si>
    <t>PHYS REV D</t>
  </si>
  <si>
    <t>Phys. Rev. D</t>
  </si>
  <si>
    <t>MAY 17</t>
  </si>
  <si>
    <t>10.1103/PhysRevD.105.095026</t>
  </si>
  <si>
    <t>Astronomy &amp; Astrophysics; Physics, Particles &amp; Fields</t>
  </si>
  <si>
    <t>Astronomy &amp; Astrophysics; Physics</t>
  </si>
  <si>
    <t>1X9OS</t>
  </si>
  <si>
    <t>Green Submitted, hybrid</t>
  </si>
  <si>
    <t>WOS:000807778600002</t>
  </si>
  <si>
    <t>Pedraza-Yepes, CA; Higuera-Cobos, OF; Moreno-Tellez, CM</t>
  </si>
  <si>
    <t>Antonio Pedraza-Yepes, Cristian; Fabian Higuera-Cobos, Oscar; Mauricio Moreno-Tellez, Carlos</t>
  </si>
  <si>
    <t>Mechanical characterization of a red cedar-low density polyethylene composite material</t>
  </si>
  <si>
    <t>Mechanical properties; wood-plastic composite; LDPE; red cedar</t>
  </si>
  <si>
    <t>The use of natural fibers as reinforcement in composite materials has become a global trend, but the use is very limited, and even less the production of these materials locally. This work is an experimental analysis conducted to determine the behavior of the mechanical properties of the composite made of LDPE-Wood Fiber, specifically resistance to tension, compression and bending, and evaluates the influence of the variation of the constituent elements of the compound and the origin of the wood fiber.</t>
  </si>
  <si>
    <t>[Antonio Pedraza-Yepes, Cristian; Fabian Higuera-Cobos, Oscar] Univ Atlantico, Barranquilla, Colombia; [Mauricio Moreno-Tellez, Carlos] Univ Pedag &amp; Tecnol Colombia, Tunja, Colombia</t>
  </si>
  <si>
    <t>Pedraza-Yepes, CA (corresponding author), Univ Atlantico, Barranquilla, Colombia.</t>
  </si>
  <si>
    <t>cristianpedraza@mail.uniatlantico.edu.co; oscarhiguera@mail.uniatlantico.edu.co; carlosmauricio.moreno@uptc.edu.co</t>
  </si>
  <si>
    <t>[Anonymous], 2002, 604 UNEENISO; Bravo J., 2007, ENG PROCESS ADDITIVE; Callister WD, 2000, INTRO CIENCIA INGENI, V1; Callister WD, 2000, INTRO CIENCIA INGENI, V2; Chawla KK., 2012, COMPOSITE MAT SCI EN; Clemons C, 2002, FOREST PROD J, V52, P10; Diaz D., 2004, DISENO MAT COMPUESTO, P11; Gramann PJ, 1993, SIMULATION MELT MIXI, P60; ICONTEC,, 2021, 595 ICONTEC NTC; ICONTEC, 2020, 3201 ICONTEC NORMA N; Mangonon P.L, 2001, CIENCIA MAT SELECCIO; Smith PM, P 8 INT 2005 C WOOD, P335; Sunday James S, 2007, CHEM WOOD PLASTIC CO, P1; Wolcott MP, 1999, 33RD INTERNATIONAL PARTICLEBOARD/COMPOSITE MATERIALS SYMPOSIUM, PROCEEDINGS, P103</t>
  </si>
  <si>
    <t>e22712078</t>
  </si>
  <si>
    <t>10.25100/iyc.v24i02.12078</t>
  </si>
  <si>
    <t>WOS:000927631700026</t>
  </si>
  <si>
    <t>Casierra-Posada, F; Carreno-Patino, A; Castro-Gutierrez, C</t>
  </si>
  <si>
    <t>Casierra-Posada, Fanor; Carreno-Patino, Alexander; Castro-Gutierrez, Camilo</t>
  </si>
  <si>
    <t>Flower Quality in Roses (Rosa Hybrida) Sprayed with Ascorbic Acid</t>
  </si>
  <si>
    <t>Vitamin C; L-ascorbate; Flower quality; Cut flowers; Chlorophyll; Antioxidant</t>
  </si>
  <si>
    <t>Colombia is a country recognized for its variety of fresh flowers for export, among which roses represent a significant quantity. However, cut flowers must meet some quality requirements imposed by the international market. Ascorbic acid in living organisms has an extensive function as a free radical scavenger; therefore, it reduces the negative effects of oxidative stress. It is also involved in the biosynthesis of several hormones, has many functions in chloroplasts, and is a fundamental compound for the correct functioning of the photosynthetic apparatus. The exogenous application of ascorbic acid improves the quality and nutritional value of agricultural products and induces stress resistance in plants. A greenhouse study was carried out in Cota, Colombia, with the objective of improving the quality of rose flowers by spraying ascorbic acid in concentrations of 0.0 (control), 600, and 1200 mg L-1 in the Escimo, Latin Beauty, and Freedom cultivars. In response to the spraying, an increase in stem length and stem thickness was observed in all cultivars which was directly proportional to the concentration of ascorbic acid applied. There was no clear trend found in the response of cultivars to ascorbate regarding head size and chlorophyll content (SPAD) since in some cultivars, the values of these variables increased or decreased with statistically significant differences. As a result, spraying with ascorbic acid significantly improves some components of the quality of rose cut flowers, even though the response is highly dependent on the cultivar.</t>
  </si>
  <si>
    <t>[Casierra-Posada, Fanor; Carreno-Patino, Alexander] Univ Pedag &amp; Tecnol Colombia, Plant Ecophysiol Grp, Tunja, Colombia; [Castro-Gutierrez, Camilo] Univ Cundinamarca, Fusagasuga, Colombia</t>
  </si>
  <si>
    <t>Casierra-Posada, F (corresponding author), Univ Pedag &amp; Tecnol Colombia, Plant Ecophysiol Grp, Tunja, Colombia.</t>
  </si>
  <si>
    <t>Carreno-Patino, Julio Alexander/0000-0002-7389-8048; Casierra-Posada, Fanor/0000-0001-7508-5174</t>
  </si>
  <si>
    <t>Faculty of Agricultural Sciences at the Universidad Pedagogica y Tecnologica de ColombiaUPTC</t>
  </si>
  <si>
    <t>This study was funded by the Faculty of Agricultural Sciences at the Universidad Pedagogica y Tecnologica de ColombiaUPTC.</t>
  </si>
  <si>
    <t>Akram NA, 2017, FRONT PLANT SCI, V8, DOI 10.3389/fpls.2017.00613; Alamri SA, 2018, J PLANT INTERACT, V13, P409, DOI 10.1080/17429145.2018.1491067; Ashraf, 2018, BIOMEDICAL, V11, P8196, DOI [10.26717/BJSTR.2018.11.002031, DOI 10.26717/BJSTR.2018.11.002031]; Asmar Soto, 2021, 2020 TOTAL EXPORTACI; Barth C, 2006, J EXP BOT, V57, P1657, DOI 10.1093/jxb/erj198; Budiarto, 2019, PLANTA TROP J AGROSA, V7, P33; Eslava, 2021, SAN VALENTIN DESQUIT; Gallie DR, 2013, SCIENTIFICA, V2013, DOI 10.1155/2013/795964; Herrera-Martinez S. L., 2013, Terra Latinoamericana, V31, P193; Ivanov BN, 2014, BIOCHEMISTRY-MOSCOW+, V79, P282, DOI 10.1134/S0006297914030146; Liebisch F., 2014, CHARACTERIZATION CRO, DOI [10.1109/WHISPERS39173.2014, DOI 10.1109/WHISPERS39173.2014]; Marino Garcia, 2020, ESPECIAL FLORES COLO; Ministerio de Agricultura y Desarrollo Rural, 2020, COL EXP FLOR CERC 10; Mora-Herrera, 2011, REV CHAPINGO SER HOR, V17, P73, DOI [10.5154/r.rchsh.2011.17.047, DOI 10.5154/R.RCHSH.2011.17.047]; Paciolla C, 2019, ANTIOXIDANTS-BASEL, V8, DOI 10.3390/antiox8110519; Sadak M. S., 2013, American-Eurasian Journal of Agricultural &amp; Environmental Sciences, V13, P1476; Salachna P., 2021, BIOL LIFE SCI FORUM, V4, P97, DOI [10.3390/IECPS2020-08622, DOI 10.3390/IECPS2020-08622]; Shiroma S, 2019, PLANT SCI, V284, P185, DOI 10.1016/j.plantsci.2019.04.012; Smirnoff N, 2018, FREE RADICAL BIO MED, V122, P116, DOI 10.1016/j.freeradbiomed.2018.03.033; Sofy MR., 2016, J PLANT BIOCH PHYSL, V4, P4, DOI DOI 10.4172/2329-9029.1000161; Usadel B, 2008, PLANT PHYSIOL, V146, P1834, DOI 10.1104/pp.107.115592; Valle, 2020, ORG CONTROL ASCORBAT, DOI [10.1101/2020.06.23.167247, DOI 10.1101/2020.06.23.167247]</t>
  </si>
  <si>
    <t>10.1007/s10343-021-00613-y</t>
  </si>
  <si>
    <t>WOS:000744857100001</t>
  </si>
  <si>
    <t>Hernandez, LFM; Caceres, EXU; Medellin, MOP; Lopez, LXR</t>
  </si>
  <si>
    <t>Morales Hernandez, Luisa Fernanda; Urbano Caceres, Eliana Ximena; Pulido Medellin, Martin Orlando; Ramirez Lopez, Laura Ximena</t>
  </si>
  <si>
    <t>Serum glucose and fructosamine levels as possible indicators of diabetes mellitus in dogs</t>
  </si>
  <si>
    <t>REVISTA DE INVESTIGACIONES VETERINARIAS DEL PERU</t>
  </si>
  <si>
    <t>hyperglycemia; diabetes; carbohydrates; metabolism</t>
  </si>
  <si>
    <t>RISK-FACTORS; CANINE; POPULATION; CATS</t>
  </si>
  <si>
    <t>The aim of this study was to evaluate the usefulness of the measurement of glucose and serum fructosamine as possible indicative biomarkers for the diagnosis of canine diabetes mellitus (CDM). An analytical, descriptive, cross-sectional study was developed with a sample of 30 canines from a shelter in Cundinamarca, Colombia. The animals were without clinical signs of CDM. Data on sex, breed, age, diet, reproductive history, symptoms related to CDM and vaccination status of each animal were taken. A sample was collected from the cephalic vein while fasting for 8-12 hours and were immediately centrifuged to determine the concentration of glucose and serum fructosamine in an automated chemistry equipment. The results showed that 60% of the sampled population was male, 46.7% was 5 years old, 33.3% between 6 and 10 years old, and 20% more than 10 years old. All were consuming an exclusive diet of concentrate and all were sterilized. The results showed that 30% of canines without clinical signs of CMD presented higher glucose concentrations and fructosamine concentrations below the established biological reference interval.</t>
  </si>
  <si>
    <t>[Morales Hernandez, Luisa Fernanda; Urbano Caceres, Eliana Ximena; Ramirez Lopez, Laura Ximena] Univ Boyaca, Tunja, Colombia; [Pulido Medellin, Martin Orlando] Univ Pedag Tecnol &amp; Colombia, Grp Invest Med Vet &amp; Zootecnia, Tunja, Colombia</t>
  </si>
  <si>
    <t>Lopez, LXR (corresponding author), Univ Boyaca, Tunja, Colombia.</t>
  </si>
  <si>
    <t>lauramirez@uniboyaca.edu.co</t>
  </si>
  <si>
    <t>Pulido-Medellin, Martin Orlando/0000-0003-4989-1476</t>
  </si>
  <si>
    <t>Álvarez-Linares Betsy, 2017, Abanico vet, V7, P53, DOI 10.21929/abavet2017.71.6; Catchpole B, 2005, DIABETOLOGIA, V48, P1948, DOI 10.1007/s00125-005-1921-1; Catchpole B, 2013, VET J, V195, P139, DOI 10.1016/j.tvjl.2012.11.013; Cervantes-Villagrana R, 2013, REV ENDOCRINOL NUTR, V21, P98; Cook Audrey K, 2012, J Diabetes Sci Technol, V6, P491; Davison LJ, 2005, VET REC, V156, P467, DOI 10.1136/vr.156.15.467; Fall T, 2007, J VET INTERN MED, V21, P1209, DOI 10.1892/07-021.1; Florez AA, 2019, REV INVESTIG VET PER, V30, P828, DOI 10.15381/rivep.v30i2.15087; Goemans AF, 2017, VET CLIN PATH, V46, P227, DOI 10.1111/vcp.12477; Guptill L, 2003, VET J, V165, P240, DOI 10.1016/S1090-0233(02)00242-3; Heeley A. M., 2020, Canine Medicine and Genetics, V7, DOI 10.1186/s40575-020-00087-7; Hoenig M, 2002, MOL CELL ENDOCRINOL, V197, P221, DOI 10.1016/S0303-7207(02)00264-2; Idowu O, 2018, CAN VET J, V59, P642; Kumar P, 2014, VET WORLD, V7, P952, DOI 10.14202/vetworld.2014.952-959; Landry MP, 2004, JAVMA-J AM VET MED A, V225, P709, DOI 10.2460/javma.2004.225.709; Loste A, 2001, VET RES COMMUN, V25, P109, DOI 10.1023/A:1006452818143; Mattin M, 2014, VET REC, V174, P349, DOI 10.1136/vr.101950; Minsalud, 2017, CENSO REPORTE VACUNA, P24; Moshref M, 2019, STEM CELL TRANSL MED, V8, P450, DOI 10.1002/sctm.18-0163; Nelson R.W, 2015, CANINE FELINE ENDOCR, P213; Poppl AG, 2017, RES VET SCI, V114, P469, DOI 10.1016/j.rvsc.2017.08.003; Rand JS, 2004, J NUTR, V134, p2072S, DOI 10.1093/jn/134.8.2072S; Reusch CE, 2001, VET REC, V148, P370, DOI 10.1136/vr.148.12.370; Sako T, 2008, J VET DIAGN INVEST, V20, P634, DOI 10.1177/104063870802000517; Soriano JF, 2017, REV CIEN VET, V33, P1; Strage EM, 2014, J VET INTERN MED, V28, P419, DOI 10.1111/jvim.12307; Tauk BS, 2015, JAVMA-J AM VET MED A, V246, P1327, DOI 10.2460/javma.246.12.1327; Verkest KR, 2011, AM J VET RES, V72, P357, DOI 10.2460/ajvr.72.3.357</t>
  </si>
  <si>
    <t>UNIV NACIONAL MAYOR SAN MARCOS</t>
  </si>
  <si>
    <t>SAN BORJA</t>
  </si>
  <si>
    <t>FAC MED VET, AV CIRCUNVALACION CDRA 28 S-N, SAN BORJA, LIMA 00000, PERU</t>
  </si>
  <si>
    <t>1682-3419</t>
  </si>
  <si>
    <t>1609-9117</t>
  </si>
  <si>
    <t>REV INVESTIG VET PER</t>
  </si>
  <si>
    <t>Rev. Investig. Vet. Peru</t>
  </si>
  <si>
    <t>JAN-FEB</t>
  </si>
  <si>
    <t>e20539</t>
  </si>
  <si>
    <t>10.15381/rivep.v33i1.20539</t>
  </si>
  <si>
    <t>8J2TT</t>
  </si>
  <si>
    <t>WOS:000922274500017</t>
  </si>
  <si>
    <t>Valderrama, EL; Polanco, JA</t>
  </si>
  <si>
    <t>Valderrama, Eliana-Leonor; Polanco, Jorge-Andres</t>
  </si>
  <si>
    <t>Understanding how collaborative governance mediates rural tourism and sustainable territory development: a systematic literature review</t>
  </si>
  <si>
    <t>TOURISM RECREATION RESEARCH</t>
  </si>
  <si>
    <t>Review; Early Access</t>
  </si>
  <si>
    <t>Rural tourism; sustainable territory development; collaborative governance; literature review</t>
  </si>
  <si>
    <t>EMPOWERMENT MODEL; COMMUNITY; PERSPECTIVE; FRAMEWORK; REGION; PERFORMANCE; INDICATORS; LESSONS; NETWORK; AREAS</t>
  </si>
  <si>
    <t>The relationship between rural tourism (RT) and sustainable territory development (STD) depends on formal and informal relationships. There is uncertainty in these relationships. Collaborative governance (CG) could explain this relationship and address the influence of RT on STD. This paper aims to understand how CG mediates the relationship between RT and STD. A systematic literature review was carried out using a mixed sequential approach, starting with the definition of the search equation. A total of 324 records were analysed to determine the knowledge map of the relationship between RT, CG and STD. The quantitative approach was the input for the qualitative approach, where 63 documents were selected with the PRISMA methodology and analysed with the Grounded Theory. The main contribution was the construction of a theoretical model that explains how CG mediates the relationship between RT and STD with the capacity for joint action. Networks, endogeneity, and empowerment influence elements in the capacity for joint action, which in turn influences procedural/institutional arrangements, leadership, knowledge, and resources for the environmental, sociocultural, and economic dimensions of STD. This approach is conceptually tentative in nature, and theoretical development is needed with additional research from empirical case studies conducted in diverse scenarios in countries with different regimes.</t>
  </si>
  <si>
    <t>[Valderrama, Eliana-Leonor] Univ Pedag &amp; Tecnol Colombia, Tunja, Colombia; [Polanco, Jorge-Andres] Univ Medellin, Fac Econ &amp; Adm Sci, Medellin, Colombia; [Polanco, Jorge-Andres] Univ Medellin, Socioecon Dev, Medellin, Colombia</t>
  </si>
  <si>
    <t>Universidad Pedagogica y Tecnologica de Colombia (UPTC); Universidad de Medellin; Universidad de Medellin</t>
  </si>
  <si>
    <t>Valderrama, EL (corresponding author), Univ Pedag &amp; Tecnol Colombia, Univ Medellin, Tunja, Colombia.</t>
  </si>
  <si>
    <t>eliana.valderrama@uptc.edu.co</t>
  </si>
  <si>
    <t>Polanco, Jorge-Andrés/L-5171-2016</t>
  </si>
  <si>
    <t>Polanco, Jorge-Andrés/0000-0002-3469-1685; Valderrama-Orozco, Eliana-Leonor/0000-0003-4887-7162</t>
  </si>
  <si>
    <t>Departamento Administrativo de Ciencia, Tecnologia e Innovacion (COLCIENCIAS) [779-2017]</t>
  </si>
  <si>
    <t>Departamento Administrativo de Ciencia, Tecnologia e Innovacion (COLCIENCIAS)(Departamento Administrativo de Ciencia, Tecnologia e Innovacion Colciencias)</t>
  </si>
  <si>
    <t>This work was supported by Departamento Administrativo de Ciencia, Tecnologia e Innovacion (COLCIENCIAS) : [Grant Number 779-2017].</t>
  </si>
  <si>
    <t>Cortes-Leal JA, 2017, CUAD DESARRO RURAL, V14, DOI [10.11144/Javeriana.cdr14-79.drga, 10.11144/javeriana.cdr14-79.drga]; Ansell C, 2008, J PUBL ADM RES THEOR, V18, P543, DOI 10.1093/jopart/mum032; Barandiaran X, 2019, TOUR REV, V74, P902, DOI 10.1108/TR-09-2018-0133; Beaumont N, 2010, J SUSTAIN TOUR, V18, P7, DOI 10.1080/09669580903215139; Blancas FJ, 2011, SCI TOTAL ENVIRON, V412, P28, DOI 10.1016/j.scitotenv.2011.09.066; Blanco E, 2011, POLICY SCI, V44, P35, DOI 10.1007/s11077-010-9121-3; Bramwell B, 2015, J SUSTAIN TOUR, V23, P1, DOI 10.1080/09669582.2014.970407; Bramwell B, 2011, J SUSTAIN TOUR, V19, P411, DOI 10.1080/09669582.2011.580586; BRUNDTLAND GH, 1987, ENVIRON CONSERV, V14, P291, DOI 10.1017/S0376892900016805; BUTLER RW, 1991, ENVIRON CONSERV, V18, P201, DOI 10.1017/S0376892900022104; Carson DA, 2014, TOURISM GEOGR, V16, P457, DOI 10.1080/14616688.2013.868030; Cawley M, 2008, ANN TOURISM RES, V35, P316, DOI 10.1016/j.annals.2007.07.011; Cortes-Perez HD, 2023, GLOB BUS REV, V24, P206, DOI 10.1177/0972150920916072; Creswell J. W., 2014, RES DESIGN INT STUDE; DOWER M, 1973, J AGR ECON, V24, P465, DOI 10.1111/j.1477-9552.1973.tb00949.x; Emerson K, 2015, PUBLIC PERFORM MANAG, V38, P717, DOI 10.1080/15309576.2015.1031016; Emerson K, 2012, J PUBL ADM RES THEOR, V22, P1, DOI 10.1093/jopart/mur011; Eus?bio C., 2014, REV PORTUGUESA DELEL, V36, P13; Ferrari G, 2010, INT J ENVIRON RES, V4, P407; Feyers S, 2020, SUSTAINABILITY-BASEL, V12, DOI 10.3390/su12010080; Fleischer A, 2000, ANN TOURISM RES, V27, P1007, DOI 10.1016/S0160-7383(99)00126-7; Friese S., 2019, ATLAS TI 8 WINDOWS M, P72; Garcia J.L, 2015, TURISMO RURAL COMO F; Ghoochani OM, 2020, TOUR REV, V75, P745, DOI 10.1108/TR-02-2019-0061; Guntoro B., 2006, KASETSART J SOCIAL S, V27, P128; HALL D, 2003, TOURISM SUSTAINABLE; Hart C., 1998, DOING LIT REV RELEAS; Hatipoglu B, 2016, J CLEAN PROD, V111, P306, DOI 10.1016/j.jclepro.2014.11.059; Hernandez-Sampieri R., 2010, METODOLOG A INVESTIG, V5th; Ibanescu BC, 2018, SUSTAINABILITY-BASEL, V10, DOI 10.3390/su10103529; Pulido-Fernandez JI, 2018, SOC INDIC RES, V137, P695, DOI 10.1007/s11205-017-1627-z; Jenkins T., 2001, 1 SPRITE U WAL; Joo J, 2019, SUSTAINABILITY-BASEL, V11, DOI 10.3390/su11195337; Kantar S, 2017, DETUROPE, V9, P26; Keyim P, 2018, J TRAVEL RES, V57, P483, DOI 10.1177/0047287517701858; Keyim P, 2016, COMMUNITY DEV J, V51, P534, DOI 10.1093/cdj/bsv046; Lakner Z, 2018, SUSTAINABILITY-BASEL, V10, DOI 10.3390/su10041090; LAMBE RA, 1986, LANDSCAPE PLAN, V12, P353, DOI 10.1016/0304-3924(86)90003-1; Lane B., 1994, Journal of Sustainable Tourism, V2, P102, DOI 10.1080/09669589409510687; Lane B., 1994, Journal of Sustainable Tourism, V2, P7, DOI 10.1080/09669589409510680; Li P, 2016, TOURISM MANAGE, V55, P240, DOI 10.1016/j.tourman.2016.02.007; Liu ZhenHua, 2003, Journal of Sustainable Tourism, V11, P459, DOI 10.1080/09669580308667216; Long P., 2000, Trends in outdoor recreation, leisure and tourism., P299, DOI 10.1079/9780851994031.0299; Machado V, 2018, TOUR PLAN DEV, V15, P692, DOI 10.1080/21568316.2017.1415958; Marsden T, 2010, CAMB J REG ECON SOC, V3, P225, DOI 10.1093/cjres/rsq010; Marzo-Navarro M., 2017, PASOS, V15, P841, DOI [https://doi.org/10.25145/j.pasos.2017.15.057, DOI 10.25145/J.PASOS.2017.15.057]; Marzo-Navarro M, 2017, TOURISM GEOGR, V19, P575, DOI 10.1080/14616688.2017.1336785; Mbaiwa J. E., 2005, Journal of Sustainable Tourism, V13, P203, DOI 10.1080/01434630508668554; McAreavey R, 2011, SOCIOL RURALIS, V51, P175, DOI 10.1111/j.1467-9523.2010.00529.x; McGehee NG, 2015, J SUSTAIN TOUR, V23, P1277, DOI 10.1080/09669582.2015.1019514; Moher D, 2010, INT J SURG, V8, P658, DOI [10.1016/j.ijsu.2010.07.299, 10.1016/j.ijsu.2010.02.007, 10.1136/bmj.b2535, 10.1186/s13643-015-0087-2]; Nayak D, 2019, IIM KOZHIKODE SOC MA, V8, P156, DOI 10.1177/2277975218784795; NEWBY H, 1986, REG STUD, V20, P209, DOI 10.1080/09595238600185191; North Douglass, 1990, I INSTITUTIONAL CHAN, DOI [DOI 10.1017/CBO9780511808678, 10.1017/CBO9780511808678]; Oliver T., 2003, Landscape Research, V28, P293, DOI 10.1080/01426390306516; OMT,, 2013, GOB SECT TUR MED; Park DB, 2011, INT J TOUR RES, V13, P401, DOI 10.1002/jtr.804; Park S, 2015, J TOUR CULT CHANGE, V13, P367, DOI 10.1080/14766825.2014.939804; Pennington-Gray L, 2014, TOUR PLAN DEV, V11, P292, DOI 10.1080/21568316.2014.890124; Priskin J, 2003, AUST GEOGR STUD, V41, P270, DOI 10.1046/j.1467-8470.2003.00234.x; Pujiyono B., 2019, AFRICAN J HOSPITALIT, V8, P1; Purnomo S, 2020, J ASIAN FINANC ECON, V7, P261, DOI 10.13106/jafeb.2020.vol7.no2.261; Quaranta G, 2016, SUSTAINABILITY-BASEL, V8, DOI 10.3390/su8070668; Restrepo N, 2019, SUSTAINABILITY-BASEL, V11, DOI 10.3390/su11092568; Rodriguez-Giron S, 2019, TOURIST STUD, V19, P23, DOI 10.1177/1468797618790109; Rowley J., 2004, MANAG RES NEWS, V27, P31, DOI [DOI 10.1108/01409170410784185, 10.1108/01409170410784185]; Ryan C., 2009, TOURISM CHINA, P257; Saufi A, 2014, J SUSTAIN TOUR, V22, P801, DOI 10.1080/09669582.2013.861468; Saxena G, 2007, TOURISM GEOGR, V9, P347, DOI 10.1080/14616680701647527; Saxena G, 2008, ANN TOURISM RES, V35, P233, DOI 10.1016/j.annals.2007.07.010; Sharpley R., 2002, Tourism and development: concepts and issues, P11; Siakwah P, 2020, TOUR PLAN DEV, V17, P355, DOI 10.1080/21568316.2019.1600160; Stoffelen A, 2017, EUR PLAN STUD, V25, P1013, DOI 10.1080/09654313.2017.1291585; Strauss A.L., 2002, BASES INVESTIGACION; Sugito T, 2019, MASYARAKAT KEBUDAYAA, V32, P363, DOI 10.20473/mkp.V32I42019.363-377; Tosun C, 2005, GEOFORUM, V36, P333, DOI 10.1016/j.geoforum.2004.06.003; UNWTO, 2018, TOURISM SUSTAINABLE, DOI [10.18111/9789284419685, DOI 10.18111/9789284419685]; Ventura F., 2008, Unfolding webs: the dynamics of regional rural development, P149; Verbole A., 1997, Sustainable rural development., P197; Wall G., 2002, TOUR RECREAT RES, V27, P89, DOI [https://doi.org/10.1080/02508281.2002.11081377, DOI 10.1080/02508281.2002.11081377]; Wall G., 2006, TOURISM CHANGE IMPAC; Waltman L, 2010, J INFORMETR, V4, P629, DOI 10.1016/j.joi.2010.07.002; Yeh SP, 2014, REV CERCET INTERV SO, V46, P131; Zarokosta H., 2014, REV PORTUGUESA ESTUD, V36, P35; Zhou L., 2004, ECON GEOGR, V24, P572; Zhuang H., 2011, Journal of Ecotourism, V10, P46, DOI 10.1080/14724041003686813</t>
  </si>
  <si>
    <t>ROUTLEDGE JOURNALS, TAYLOR &amp; FRANCIS LTD</t>
  </si>
  <si>
    <t>2-4 PARK SQUARE, MILTON PARK, ABINGDON OX14 4RN, OXON, ENGLAND</t>
  </si>
  <si>
    <t>0250-8281</t>
  </si>
  <si>
    <t>2320-0308</t>
  </si>
  <si>
    <t>TOUR RECREAT RES</t>
  </si>
  <si>
    <t>Tour. Recreat. Res.</t>
  </si>
  <si>
    <t>2022 JUN 18</t>
  </si>
  <si>
    <t>10.1080/02508281.2022.2072653</t>
  </si>
  <si>
    <t>2J1AL</t>
  </si>
  <si>
    <t>WOS:000815399000001</t>
  </si>
  <si>
    <t>Otalora, MC; Wilches-Torres, A; Lara, CR; Castano, JAG; Cifuentes, GR</t>
  </si>
  <si>
    <t>Carolina Otalora, Maria; Wilches-Torres, Andrea; Rafael Lara, Carlos; Gomez Castano, Jovanny A.; Ricardo Cifuentes, Gabriel</t>
  </si>
  <si>
    <t>Evaluation of Turbidity and Color Removal in Water Treatment: A Comparative Study between Opuntia ficus-indica Fruit Peel Mucilage and FeCl3</t>
  </si>
  <si>
    <t>Opuntia ficus-indica; water; wastewater treatment; coagulation; flocculation process; mucilage; biocoagulant</t>
  </si>
  <si>
    <t>COAGULATION-FLOCCULATION PROCESS; PLANT-BASED COAGULANTS; OBTUSIFOLIA SEED GUM; PERFORMANCE; OPTIMIZATION; STRENGTH; PULP</t>
  </si>
  <si>
    <t>Natural coagulants derived from by-products have gained popularity as sustainable alternatives to inorganic coagulants in water/wastewater treatment due to their abundant availability, biodegradability, low cost, easy disposal and low sludge volumes. In this study, the mucilage obtained from the peel of Opuntia ficus-indica fruit was evaluated as a biocoagulant for treating synthetic turbid water and compared with a traditional chemical coagulant (FeCl3). The effects of coagulant dosage and pH on the turbidity and color-removal efficiency of synthetic turbid water were analyzed. To estimate the coagulation mechanism, the flocs produced under optimal values were characterized structurally (FTIR and zeta potential) and morphologically (SEM). The optimal condition for the removal of turbidity and color was a coagulant dose of 12 mg/L at pH 13. For the optimal values, the biocoagulant and the FeCl3 presented a maximum removal of 82.7 +/- 3.28% and 94.63 +/- 0.98% for turbidity and 71.82 +/- 2.72% and 79.94 +/- 1.77% for color, respectively. The structure and morphology of the flocs revealed that the coagulation mechanism of the mucilage was adsorption and bridging, whereas that of FeCl3 was charge neutralization. The results obtained showed that the mucilage could be used as an alternative coagulant to replace FeCl3.</t>
  </si>
  <si>
    <t>[Carolina Otalora, Maria; Wilches-Torres, Andrea] Univ Boyaca, Fac Ciencias &amp; Ingn, Grp Invest Ciencias Basicas NUCLEO, Tunja 150003, Colombia; [Rafael Lara, Carlos; Ricardo Cifuentes, Gabriel] Univ Boyaca, Fac Ciencias &amp; Ingn, Grp Gest Recursos Hidr, Tunja 150003, Colombia; [Gomez Castano, Jovanny A.] Univ Pedag &amp; Tecnol Colombia, Sede Tunja, Escuela Ciencias Quim, Grp Quim Fis Mol &amp; Modelamiento Computac QUIMOL, Ave Cent Norte, Tunja 150003, Colombia</t>
  </si>
  <si>
    <t>Otalora, MC (corresponding author), Univ Boyaca, Fac Ciencias &amp; Ingn, Grp Invest Ciencias Basicas NUCLEO, Tunja 150003, Colombia.;Cifuentes, GR (corresponding author), Univ Boyaca, Fac Ciencias &amp; Ingn, Grp Gest Recursos Hidr, Tunja 150003, Colombia.</t>
  </si>
  <si>
    <t>marotalora@uniboyaca.edu.co; grcifuentes@uniboyaca.edu.co</t>
  </si>
  <si>
    <t>Gómez Castaño, Jovanny A./0000-0002-6654-1315; Lara-Mendoza, Carlos-Rafael/0000-0003-1475-5060; Wilches-Torres, Andrea/0000-0002-7980-2342; Otalora, Maria Carolina/0000-0003-0594-1363; Cifuentes Osorio, Gabriel Ricardo/0000-0002-5118-0174</t>
  </si>
  <si>
    <t>Universidad de Boyaca</t>
  </si>
  <si>
    <t>This research was funded by the Universidad de Boyaca and the APC was funded by the same institution.</t>
  </si>
  <si>
    <t>Afolabi FO, 2021, POL J ENVIRON STUD, V30, P1487, DOI 10.15244/pjoes/122449; Amaya-Cruz DM, 2019, FOOD CHEM, V278, P568, DOI 10.1016/j.foodchem.2018.11.031; Andreu-Coll L, 2019, J FOOD COMPOS ANAL, V84, DOI 10.1016/j.jfca.2019.103294; APHA, 2012, WPCF STANDARD METHOD; Azamzam AA, 2022, WATER-SUI, V14, DOI 10.3390/w14162473; Otalora MC, 2022, POLYMERS-BASEL, V14, DOI 10.3390/polym14183832; Choudhary M, 2019, SEP PURIF TECHNOL, V209, P714, DOI 10.1016/j.seppur.2018.09.033; Chua SC, 2019, WATER-SUI, V11, DOI 10.3390/w11081686; Daverey A, 2019, ENVIRON SCI POLLUT R, V26, P34177, DOI 10.1007/s11356-018-3850-9; Feng L, 2019, SCI TOTAL ENVIRON, V689, P546, DOI 10.1016/j.scitotenv.2019.06.475; Freitas TKFS, 2015, IND CROP PROD, V76, P538, DOI 10.1016/j.indcrop.2015.06.027; Gheribi R, 2019, INT J BIOL MACROMOL, V126, P238, DOI 10.1016/j.ijbiomac.2018.12.228; Hodur C, 2020, SUSTAINABILITY-BASEL, V12, DOI 10.3390/su12124880; Ibisi N. E., 2018, CHEM INT, V4, P52, DOI DOI 10.31221/OSF.IO/YRPVN; Lanan FABM, 2021, J ENVIRON CHEM ENG, V9, DOI 10.1016/j.jece.2020.104667; Lim BC, 2018, PROCESS SAF ENVIRON, V119, P233, DOI 10.1016/j.psep.2018.08.015; Lim K.S., 2022, MATER TODAY-PROC, V48, P871, DOI [10.1016/j.matpr.2021.02.483, DOI 10.1016/J.MATPR.2021.02.483, DOI 10.1016/j.matpr.2021.02.483]; Mirbahoush SM, 2019, CHEMOSPHERE, V231, P51, DOI 10.1016/j.chemosphere.2019.05.118; Nharingo T, 2016, J ENVIRON MANAGE, V166, P55, DOI 10.1016/j.jenvman.2015.10.005; Okoro BU, 2021, J ENVIRON CHEM ENG, V9, DOI 10.1016/j.jece.2021.106588; Oyewo OA, 2016, J ENVIRON RADIOACTIV, V164, P369, DOI 10.1016/j.jenvrad.2016.08.014; Peck-Loo, 2017, PROG ENERGY ENV, P47; Saenz C, 2004, J ARID ENVIRON, V57, P275, DOI 10.1016/S0140-1963(03)00106-X; Saleem M, 2019, J IND ENG CHEM, V72, P281, DOI 10.1016/j.jiec.2018.12.029; Shak KPY, 2014, CHEM ENG J, V256, P293, DOI 10.1016/j.cej.2014.06.093; Shin JY, 2008, ENVIRON SCI TECHNOL, V42, P2582, DOI 10.1021/es071536o; Subramonian W, 2014, IND CROP PROD, V61, P317, DOI 10.1016/j.indcrop.2014.06.055; Tan KL, 2022, IND CROP PROD, V178, DOI 10.1016/j.indcrop.2022.114547; Tawakkoly B, 2019, IND CROP PROD, V137, P323, DOI 10.1016/j.indcrop.2019.05.038; Vargas-Solano S.V., 2022, ENV ADV, V7, P100160, DOI [10.1016/j.envadv.2021.100160, DOI 10.1016/J.ENVADV.2021.100160]; Wan J, 2019, SEP PURIF TECHNOL, V211, P448, DOI 10.1016/j.seppur.2018.09.083; Wang JP, 2011, WATER RES, V45, P5633, DOI 10.1016/j.watres.2011.08.023; Wang Y, 2009, J COLLOID INTERF SCI, V332, P354, DOI 10.1016/j.jcis.2009.01.002; Yin CY, 2010, PROCESS BIOCHEM, V45, P1437, DOI 10.1016/j.procbio.2010.05.030; Zhou LB, 2021, SEP PURIF TECHNOL, V276, DOI 10.1016/j.seppur.2021.119304; Zong YK, 2022, SEP PURIF TECHNOL, V299, DOI 10.1016/j.seppur.2022.121690</t>
  </si>
  <si>
    <t>10.3390/polym15010217</t>
  </si>
  <si>
    <t>7R2ZB</t>
  </si>
  <si>
    <t>WOS:000909944400001</t>
  </si>
  <si>
    <t>Otalora, MC; Wilches-Torres, A; Castano, JG</t>
  </si>
  <si>
    <t>Otalora, Maria Carolina; Wilches-Torres, Andrea; Castano, Jovanny Gomez A.</t>
  </si>
  <si>
    <t>Mucilage from Yellow Pitahaya (Selenicereus megalanthus) Fruit Peel: Extraction, Proximal Analysis, and Molecular Characterization</t>
  </si>
  <si>
    <t>mucilage; hydrocolloid; pitahaya; polysaccharide; biopolymer; by-product</t>
  </si>
  <si>
    <t>SALVIA-HISPANICA L.; CHIA SEED; FUNCTIONAL-PROPERTIES; ANTIOXIDANT ACTIVITY; PHYSICOCHEMICAL CHARACTERISTICS; OPUNTIA; ARABINOGALACTAN; IDENTIFICATION; CONSTITUENTS; BEHAVIOR</t>
  </si>
  <si>
    <t>Mucilage is a hydrophilic biopolymeric material of interest in the food industry due to its high content of dietary fiber, antioxidant activity, and gelling and thickening capacities, which is present in high concentration in agricultural by-products, such as the peel of cacti fruits. In this work, the powdered mucilage extracted from the peel of yellow pitahaya (Selenicereus megalanthus) fruit was characterized using a multi-technical approach that included proximal analysis (proteins, lipids, crude fiber, ash, and carbohydrates), as well as structural (FTIR, NMR, UPLC-QTOF-MS, and X-ray diffraction), colorimetric (CIELab parameters), morphological (SEM), and thermal (DSC/TGA) methods. Likewise, its total content of dietary fiber and polyphenols, as well as its antioxidant activity, were determined. This dried mucilage presented a light pale yellow-reddish color, attributed to the presence of betalains (bioactive pigments with high antioxidant activity). The FTIR spectrum revealed functional groups associated with a low presence of proteins (5.45 +/- 0.04%) and a high concentration of oligosaccharides (55.26 +/- 0.10%). A zeta potential of -29.90 +/- 0.90 mV was determined, denoting an anionic nature that favors the use of this mucilage as a stable colloidal dispersion. UPLC-QTOF-MS analysis revealed a major oligosaccharide composition based on galacturonic acid units in anionic form. SEM micrographs revealed a cracked morphology composed of amorphous and irregular particles. According to the DSC/TGA results, this mucilage can be introduced as a new source of hydrocolloids in food processes since it has high thermal stability that has been manifested up to 373.87 degrees C. In addition, this biopolymer exhibited a high content of polyphenols (25.00 +/- 0.01-g gallic acid equivalent (GAE)/100-g sample), dietary fiber (70.51%), and antioxidant activity (1.57 +/- 0.01 mmol Trolox equivalents/kg of sample). It was concluded that this mucilaginous material presents sufficient physicochemical and functional conditions to be used as a nutritional ingredient, thus giving valorization to this agricultural by-product.</t>
  </si>
  <si>
    <t>[Otalora, Maria Carolina; Wilches-Torres, Andrea] Univ Boyaca, Fac Ciencias &amp; Ingn, Grp Invest Ciencias Basicas NUCLEO, Tunja 150003, Colombia; [Castano, Jovanny Gomez A.] Univ Pedag &amp; Tecnol Colombia, Escuela Ciencias Quim, Grp Quim Fis Mol &amp; Modelamiento Computac QUIMOL, Tunja 150003, Colombia</t>
  </si>
  <si>
    <t>Otalora, MC (corresponding author), Univ Boyaca, Fac Ciencias &amp; Ingn, Grp Invest Ciencias Basicas NUCLEO, Tunja 150003, Colombia.;Castano, JG (corresponding author), Univ Pedag &amp; Tecnol Colombia, Escuela Ciencias Quim, Grp Quim Fis Mol &amp; Modelamiento Computac QUIMOL, Tunja 150003, Colombia.</t>
  </si>
  <si>
    <t>marotalora@uniboyaca.edu.co; jovanny.gomez@uptc.edu.co</t>
  </si>
  <si>
    <t>Alpizar-Reyes E, 2017, J FOOD ENG, V209, P68, DOI 10.1016/j.jfoodeng.2017.04.021; Andrade LA, 2020, FOOD CHEM, V327, DOI 10.1016/j.foodchem.2020.127095; Andrade LA, 2015, FOOD CHEM, V178, P331, DOI 10.1016/j.foodchem.2015.01.094; Barbosa JAC, 2019, INT J PHARM-X, V1, DOI 10.1016/j.ijpx.2019.100024; Bazezew A. M., 2022, Bioactive Carbohydrates and Dietary Fibre, V27, DOI 10.1016/j.bcdf.2021.100302; Bouaouine O, 2019, SEP PURIF TECHNOL, V209, P892, DOI 10.1016/j.seppur.2018.09.036; Otalora MC, 2022, POLYMERS-BASEL, V14, DOI 10.3390/polym14183832; Coorey R, 2014, J FOOD SCI, V79, pE859, DOI 10.1111/1750-3841.12444; Cui W, 1996, FOOD RES INT, V29, P397, DOI 10.1016/0963-9969(96)00005-1; Cunniff P, 1997, OFFICIAL METHODS ANA, V16th ed.; Ramos IFD, 2021, IND CROP PROD, V171, DOI 10.1016/j.indcrop.2021.113981; Darwish A. M. G., 2018, Alexandria Science Exchange, V39, P450; DOMON B, 1989, ORG MASS SPECTROM, V24, P357, DOI 10.1002/oms.1210240515; Gheribi R, 2019, INT J BIOL MACROMOL, V126, P238, DOI 10.1016/j.ijbiomac.2018.12.228; Goh KKT, 2016, CARBOHYD POLYM, V149, P297, DOI 10.1016/j.carbpol.2016.04.126; Habibi Y, 2004, CARBOHYD RES, V339, P1201, DOI 10.1016/j.carres.2004.02.004; Horwitz W., 2006, OFFICIAL METHODS ANA; Ji Y, 2020, ACS OMEGA, V5, P8572, DOI 10.1021/acsomega.9b04421; Jiang HT, 2021, TRENDS FOOD SCI TECH, V116, P199, DOI 10.1016/j.tifs.2021.06.040; Jouki M, 2014, INT J BIOL MACROMOL, V66, P113, DOI 10.1016/j.ijbiomac.2014.02.026; Kalegowda P, 2017, CARBOHYD POLYM, V157, P1057, DOI 10.1016/j.carbpol.2016.10.070; Kang X, 2019, APPL CLAY SCI, V176, P38, DOI 10.1016/j.clay.2019.04.024; Keshani-Dokht S, 2018, INT J BIOL MACROMOL, V118, P485, DOI 10.1016/j.ijbiomac.2018.06.069; Koocheki A, 2022, CHEM BIOL TECHNOL AG, V9, DOI 10.1186/s40538-022-00322-2; Koocheki A, 2012, FOOD BIOPHYS, V7, P84, DOI 10.1007/s11483-011-9245-9; Julio LM, 2016, J FOOD SCI TECH MYS, V53, P3206, DOI 10.1007/s13197-016-2295-8; Menga V, 2017, FOOD CHEM, V221, P1954, DOI 10.1016/j.foodchem.2016.11.151; Montoya-Arroyo A, 2014, FOOD HYDROCOLLOID, V35, P557, DOI 10.1016/j.foodhyd.2013.07.010; Mukherjee T, 2019, BIOCHEM MOL BIOL EDU, V47, P468, DOI 10.1002/bmb.21252; Otalora MC, 2021, POLYMERS-BASEL, V13, DOI 10.3390/polym13111689; Pathak PO, 2015, CARBOHYD RES, V408, P33, DOI 10.1016/j.carres.2015.03.003; Rafe A, 2022, FOODS, V11, DOI 10.3390/foods11233913; Re R, 1999, FREE RADICAL BIO MED, V26, P1231, DOI 10.1016/S0891-5849(98)00315-3; Ren ZY, 2022, LWT-FOOD SCI TECHNOL, V162, DOI 10.1016/j.lwt.2022.113468; Saenz C, 2004, J ARID ENVIRON, V57, P275, DOI 10.1016/S0140-1963(03)00106-X; Salehi E, 2019, CARBOHYD POLYM, V206, P565, DOI 10.1016/j.carbpol.2018.11.035; Samborska K, 2021, TRENDS FOOD SCI TECH, V108, P297, DOI 10.1016/j.tifs.2021.01.008; Sibaja-Hernandez R, 2015, IND CROP PROD, V67, P161, DOI 10.1016/j.indcrop.2015.01.037; SINGLETON VL, 1965, AM J ENOL VITICULT, V16, P144, DOI DOI 10.12691/IJEBB-2-1-5; Soukoulis C, 2018, CURR OPIN FOOD SCI, V22, P28, DOI 10.1016/j.cofs.2018.01.004; Taheri A, 2021, CARBOHYD POLYM, V256, DOI 10.1016/j.carbpol.2020.117420; Timilsena YP, 2016, FOOD HYDROCOLLOID, V52, P554, DOI 10.1016/j.foodhyd.2015.07.033; Vilaplana R, 2017, LWT-FOOD SCI TECHNOL, V82, P162, DOI 10.1016/j.lwt.2017.04.042; www.gob.pe, AN MERC PIT 2015 202; www.insumos.com.br, CARR TIP APL NOS AL; Zohuriaan MJ, 2004, POLYM TEST, V23, P575, DOI 10.1016/j.polymertesting.2003.11.001</t>
  </si>
  <si>
    <t>10.3390/molecules28020786</t>
  </si>
  <si>
    <t>8A6KO</t>
  </si>
  <si>
    <t>WOS:000916346400001</t>
  </si>
  <si>
    <t>Rodriguez-Diaz, OO; Franco-Mejia, E; Rosero, E</t>
  </si>
  <si>
    <t>Rodriguez-Diaz, Oscar-Oswaldo; Franco-Mejia, Edinson; Rosero, Esteban</t>
  </si>
  <si>
    <t>Modeling and Control of Small-Scale Underground Mine Ventilation Networks</t>
  </si>
  <si>
    <t>ventilation; modeling; control systems; mines</t>
  </si>
  <si>
    <t>This paper presents a nonlinear model and a control strategy to regulate airflow in small-scale underground mine ventilation networks. In underground ventilation control systems, a sensor and an actuator for each branch are usually considered. However, in small-scale underground mines, it is too expensive to have automatic doors for controlling the airflow in each tunnel, as well as to install flow and gas sensors in each branch. In order to regulate airflow in small-scale underground ventilation networks, the number of sensors and actuators is regarded as a limitation for practical installation. This work presents an alternative modeling of the network, with direct control of the airflow in each tunnel, by varying the speed of the fans available on the external surface of the mine. A state space model is presented, and a linear quadratic controller with integral action and a state estimator is designed. To validate the model and the controller, a network ventilation system for a small-scale mine with nine branches (tunnels) and two actuators (fans) is presented.</t>
  </si>
  <si>
    <t>[Rodriguez-Diaz, Oscar-Oswaldo] Univ Pedag &amp; Tecnol Colombia, Elect Engn Sch, Tunja, Boyaca, Colombia; [Franco-Mejia, Edinson; Rosero, Esteban] Univ Valle, Sch Elect &amp; Elect Engn, Cali, Colombia</t>
  </si>
  <si>
    <t>Rodriguez-Diaz, OO (corresponding author), Univ Pedag &amp; Tecnol Colombia, Elect Engn Sch, Tunja, Boyaca, Colombia.</t>
  </si>
  <si>
    <t>oscar.rodriguez@uptc.edu.co; edinson.franco@correounivalle.edu.co; esteban.rosero@correounivalle.edu.co</t>
  </si>
  <si>
    <t>Franco-Mejía, Édinson/D-5292-2017</t>
  </si>
  <si>
    <t>Rosero-Garcia, Esteban Emilio/0000-0003-2550-0207; Franco-Mejia, Edinson/0000-0003-4045-3808</t>
  </si>
  <si>
    <t>Danko GL, 2017, HEAT MASS TRANSF, P1, DOI 10.1007/978-3-662-52931-7; de Villiers DJ, 2019, INT J MIN SCI TECHNO, V29, P933, DOI 10.1016/j.ijmst.2019.02.008; Di Nardo M, 2021, APPL SYST INNOV, V4, DOI 10.3390/asi4030042; Egeland O., 2002, MODELING SIMULATION; Hartman H.L., 1997, MINE VENTILATION AIR, V3rd ed.; Hu YN, 2003, SYST CONTROL LETT, V49, P239, DOI 10.1016/S0167-6911(02)00336-5; Jing G, 2020, ENERGY, V199, DOI 10.1016/j.energy.2020.117328; Kirk D. E., 2004, OPTIMAL CONTROL THEO; Knights P, 2019, INT J MIN SCI TECHNO, V29, P599, DOI 10.1016/j.ijmst.2019.06.016; Kozielski M, 2021, DATA BRIEF, V39, DOI 10.1016/j.dib.2021.107457; McPherson MJ., 1993, SUBSURFACE VENTILATI, DOI [10.1007/978-94-011-1550-6, DOI 10.1007/978-94-011-1550-6]; Palaka D, 2020, E3S WEB CONF, V174, DOI 10.1051/e3sconf/202017401002; PETROV NN, 1992, J MIN SCI+, V28, P185, DOI 10.1007/BF00710740; Raji B, 2020, INT J VENT, V19, P25, DOI 10.1080/14733315.2018.1524210; Rasool H, 2019, ING INVEST, V39, P34, DOI 10.15446/ing.investig.v39n3.70221; Ren C, 2020, SUSTAIN CITIES SOC, V52, DOI 10.1016/j.scs.2019.101860; Rodriguez-Diaz OO, 2021, ASIAN J CONTROL, V23, P72, DOI 10.1002/asjc.2394; Sui JX, 2016, CHAOS SOLITON FRACT, V89, P20, DOI 10.1016/j.chaos.2015.09.009; Summers T. H., 2014, OPTIMAL SENSOR ACTUA, V47, DOI [10.3182/20140824-6-ZA-1003.00226, DOI 10.3182/20140824-6-ZA-1003.00226]; Tolmachev S. T., 1966, P 5 US MINE VENTILAT, V2, P598; Wang K, 2020, PROCESS SAF ENVIRON, V133, P1, DOI 10.1016/j.psep.2019.10.006; Zhu SY, 2014, B ENG GEOL ENVIRON, V73, P1151, DOI 10.1007/s10064-014-0612-x</t>
  </si>
  <si>
    <t>e90968</t>
  </si>
  <si>
    <t>10.15446/ing.investig.90968</t>
  </si>
  <si>
    <t>WOS:000935781700007</t>
  </si>
  <si>
    <t>Becerra, ML; Prieto, GA; Rendueles, M; Diaz, M</t>
  </si>
  <si>
    <t>Becerra, Monica L.; Prieto, Gloria A.; Rendueles, Manuel; Diaz, Mario</t>
  </si>
  <si>
    <t>Biological transformations of furanic platform molecules to obtain biomass-derived furans: a review</t>
  </si>
  <si>
    <t>BIOMASS CONVERSION AND BIOREFINERY</t>
  </si>
  <si>
    <t>Furfural; 5-Hydroxymethylfurfural; Biocatalysis; Bioprocess; FDCA</t>
  </si>
  <si>
    <t>2,5-FURAN DICARBOXYLIC-ACID; BIO-BASED FURANS; 2,5-FURANDICARBOXYLIC ACID; SELECTIVE OXIDATION; 5-HYDROXYMETHYL-2-FURANCARBOXYLIC ACID; 5-HYDROXYMETHYLFURFURAL HMF; CATALYZED OXIDATION; AEROBIC OXIDATION; CARBOXYLIC-ACIDS; 2-FUROIC ACID</t>
  </si>
  <si>
    <t>The field of biocatalysis is envisioned as an important contributor to the development of bioprocesses producing molecules that can replace those derived from oil, while maintaining the durability and resistance characteristics offered by petroleum-based materials. In the search for substitutes for petroleum derivatives, the compounds belonging to the furan platform appear among the best known due to their reactivity, as they present a mono- (Furfural) or disubstituted (5-HMF) furan ring in their structure, identifying them among the molecules with the greatest applications in the synthesis of new fuels and polymer precursors. In this context, taking advantage of the metabolic diversity of microorganisms, biocatalytic and fermentative methods for the bioconversion of furans have been explored, proposing processes of lower cost and low environmental impact. This review presents the oxidation and reduction products of furfural and 5-HMF obtained by biological processes, using cells or enzymes.</t>
  </si>
  <si>
    <t>[Becerra, Monica L.; Prieto, Gloria A.] Pedag &amp; Technol Univ Colombia UPTC, Dept Chem Sci, Fac Sci, Tunja, Boyaca, Colombia; [Rendueles, Manuel; Diaz, Mario] Univ Oviedo, Dept Chem Engn &amp; Environm Technol, Oviedo, Spain</t>
  </si>
  <si>
    <t>Universidad Pedagogica y Tecnologica de Colombia (UPTC); University of Oviedo</t>
  </si>
  <si>
    <t>Rendueles, M (corresponding author), Univ Oviedo, Dept Chem Engn &amp; Environm Technol, Oviedo, Spain.</t>
  </si>
  <si>
    <t>mrenduel@uniovi.es</t>
  </si>
  <si>
    <t>Rendueles, Manuel/B-8543-2013</t>
  </si>
  <si>
    <t>Rendueles, Manuel/0000-0001-7056-1231; Becerra Jimenez, Monica Liliana/0000-0002-0275-9008</t>
  </si>
  <si>
    <t>Government of Boyaca</t>
  </si>
  <si>
    <t>The Government of Boyaca for their financial support granted through the Call 733 of 2015 High level human capital formation for the department of Boyaca 2015 for Monica Becerra.</t>
  </si>
  <si>
    <t>Amarasekara AS, 2020, BIOCATAL AGR BIOTECH, V24, DOI 10.1016/j.bcab.2020.101551; Antonyraj CA, 2017, APPL CATAL A-GEN, V547, P230, DOI 10.1016/j.apcata.2017.09.012; Arias KS, 2020, CHEMSUSCHEM, V13, P1864, DOI 10.1002/cssc.201903123; Baptista M, 2021, J FUNGI, V7, DOI 10.3390/jof7121047; Becerra ML, 2022, BIOCATAL AGR BIOTECH, V39, DOI 10.1016/j.bcab.2022.102281; Boldyreva E. V., 2019, Materials Science Forum, V945, P488, DOI 10.4028/www.scientific.net/MSF.945.488; Bonincontro D, 2019, APPL CATAL A-GEN, V588, DOI 10.1016/j.apcata.2019.117279; BOOPATHY R, 1993, J IND MICROBIOL, V11, P147, DOI 10.1007/BF01583715; Cajnko MM, 2020, BIOTECHNOL BIOFUELS, V13, DOI 10.1186/s13068-020-01705-z; Cajnko MM, 2019, P 5 WORLD C NEW TECH, P6; Cang R, 2019, CATALYSTS, V9, DOI 10.3390/catal9060526; Carro J, 2018, BIOTECHNOL BIOFUELS, V11, DOI 10.1186/s13068-018-1091-2; Carro J, 2015, FEBS J, V282, P3218, DOI 10.1111/febs.13177; Chen D, 2021, MOL CATAL, V500, DOI 10.1016/j.mcat.2020.111341; Chen LF, 2022, CHEMSUSCHEM, V15, DOI 10.1002/cssc.202102635; Cheng AD, 2020, ACS SUSTAIN CHEM ENG, V8, P1437, DOI 10.1021/acssuschemeng.9b05621; Cho EJ, 2020, BIORESOURCE TECHNOL, V298, DOI 10.1016/j.biortech.2019.122386; Clarkson SM, 2014, BIOTECHNOL BIOFUELS, V7, DOI 10.1186/s13068-014-0165-z; Cleveland ME, 2021, CELL MOL LIFE SCI, V78, P8187, DOI 10.1007/s00018-021-03981-w; Corma A, 2007, CHEM REV, V107, P2411, DOI 10.1021/cr050989d; Daou Marianne, 2019, Fungal Biol Biotechnol, V6, P4, DOI 10.1186/s40694-019-0067-8; Davis SE, 2014, J MOL CATAL A-CHEM, V388, P123, DOI 10.1016/j.molcata.2013.09.013; Davis SE, 2011, CATAL TODAY, V160, P55, DOI 10.1016/j.cattod.2010.06.004; Dick GR, 2017, GREEN CHEM, V19, P2966, DOI 10.1039/c7gc01059a; Dijkman WP, 2014, ANGEW CHEM INT EDIT, V53, P6515, DOI 10.1002/anie.201402904; Dijkman WP, 2014, APPL ENVIRON MICROB, V80, P1082, DOI 10.1128/AEM.03740-13; de Maria PD, 2017, CHEMSUSCHEM, V10, P4123, DOI 10.1002/cssc.201701583; Du GL, 2021, BIOCHEM ENG J, V176, DOI 10.1016/j.bej.2021.108193; Perez-Bustos HF, 2019, FUEL, V239, P191, DOI 10.1016/j.fuel.2018.10.001; Feldman D, 2015, BIOTECHNOL BIOFUELS, V8, DOI 10.1186/s13068-015-0244-9; Fotso S, 2008, J NAT PROD, V71, P1630, DOI 10.1021/np800248s; Gandini A, 1997, PROG POLYM SCI, V22, P1203, DOI 10.1016/S0079-6700(97)00004-X; Gao LC, 2015, CHEM ENG J, V270, P444, DOI 10.1016/j.cej.2015.02.068; Gilcher EB, 2022, GREEN CHEM, V24, P2146, DOI 10.1039/d1gc04650k; Godan TK, 2019, BIORESOURCE TECHNOL, V282, P88, DOI 10.1016/j.biortech.2019.02.125; Gorbanev YY, 2009, CHEMSUSCHEM, V2, P672, DOI 10.1002/cssc.200900059; Guarnieri Michael T, 2017, Metab Eng Commun, V4, P22, DOI 10.1016/j.meteno.2017.02.001; He YC, 2018, BIORESOURCE TECHNOL, V247, P1215, DOI 10.1016/j.biortech.2017.09.071; Heer D, 2009, APPL ENVIRON MICROB, V75, P7631, DOI 10.1128/AEM.01649-09; HIRAI H, 1984, J MACROMOL SCI CHEM, VA21, P1165, DOI 10.1080/00222338408056597; Horvath IS, 2003, APPL ENVIRON MICROB, V69, P4076, DOI 10.1128/AEM.69.7.4076-4086.2003; Hossain GS, 2017, APPL ENVIRON MICROB, V83, DOI 10.1128/AEM.02312-16; Hsu CT, 2020, MICROB BIOTECHNOL, V13, P1094, DOI 10.1111/1751-7915.13564; Hunter WJ, 2014, BIORESOURCE TECHNOL, V169, P162, DOI 10.1016/j.biortech.2014.06.097; Idler C., 2015, MICROORGANISMS BIORE; Igeno MI, 2019, GENES-BASEL, V10, DOI 10.3390/genes10070499; Jia HY, 2019, CHEMSUSCHEM, V12, P4764, DOI 10.1002/cssc.201902199; Jiang Y, 2016, RSC ADV, V6, P67941, DOI 10.1039/c6ra14585j; Jonsson LJ, 2016, BIORESOURCE TECHNOL, V199, P103, DOI 10.1016/j.biortech.2015.10.009; Kambourakis S., 2016, Patent No. [9,506,090, 9506090]; Karich A, 2018, MICROORGANISMS, V6, DOI 10.3390/microorganisms6010005; Kerdi F, 2015, APPL CATAL A-GEN, V506, P206, DOI 10.1016/j.apcata.2015.09.002; Knaus T, 2018, GREEN CHEM, V20, DOI 10.1039/c8gc01381k; Koopman F, 2010, BIORESOURCE TECHNOL, V101, P6291, DOI 10.1016/j.biortech.2010.03.050; Koopman F, 2010, P NATL ACAD SCI USA, V107, P4919, DOI 10.1073/pnas.0913039107; Krystof M, 2013, CHEMSUSCHEM, V6, P826, DOI 10.1002/cssc.201200954; Lacatus MA, 2018, ACS SUSTAIN CHEM ENG, V6, P11353, DOI 10.1021/acssuschemeng.8b01206; Lewkowski J, 2001, POL J CHEM, V75, P1943; Lewkowski J, 2001, ARKIVOC, P17, DOI 10.3998/ark.5550190.0002.102; Li YM, 2017, CHEMSUSCHEM, V10, P372, DOI 10.1002/cssc.201601426; Liang JG, 2022, PROCESSES, V10, DOI 10.3390/pr10010113; Liao WP, 2023, APPL SURF SCI, V608, DOI 10.1016/j.apsusc.2022.155154; Lin RC, 2020, RENEW ENERG, V150, P23, DOI 10.1016/j.renene.2019.12.106; Liu ZL, 2004, J IND MICROBIOL BIOT, V31, P345, DOI 10.1007/s10295-004-0148-3; Maniar D, 2019, CHEMSUSCHEM, V12, P990, DOI 10.1002/cssc.201802867; Martin C, 2018, BIOTECHNOL BIOFUELS, V11, DOI 10.1186/s13068-018-1051-x; McKenna SM, 2017, GREEN CHEM, V19, P4660, DOI 10.1039/c7gc01696d; McKenna SM, 2015, GREEN CHEM, V17, P3271, DOI 10.1039/c5gc00707k; Miller DJ, 2018, Patent No. [9,994,539, 9994539, US9994539B2]; Mitsukura K, 2004, BIOTECHNOL LETT, V26, P1643, DOI 10.1007/s10529-004-3513-4; Munoz T, 2020, BIOCHEM ENG J, V154, DOI 10.1016/j.bej.2019.107421; Neatu F, 2016, APPL CATAL B-ENVIRON, V180, P751, DOI 10.1016/j.apcatb.2015.07.043; Nguyen TT, 2009, BIOCHEMISTRY-US, V48, P8879, DOI 10.1021/bi901046x; Nichols NN, 2008, ENZYME MICROB TECH, V42, P624, DOI 10.1016/j.enzmictec.2008.02.008; Pan X, 2020, REACT CHEM ENG, V5, P1397, DOI 10.1039/d0re00018c; Payne KAP, 2019, ACS CATAL, V9, P2854, DOI 10.1021/acscatal.8b04862; Petri A, 2018, CATAL COMMUN, V114, P15, DOI 10.1016/j.catcom.2018.05.011; Qi FY, 2022, APPL SURF SCI, V598, DOI 10.1016/j.apsusc.2022.153769; Qin LZ, 2020, APPL BIOCHEM BIOTECH, V190, P1289, DOI 10.1007/s12010-019-03154-3; Qin YZ, 2016, ACS SUSTAIN CHEM ENG, V4, P4050, DOI 10.1021/acssuschemeng.6b00996; Qin YZ, 2015, GREEN CHEM, V17, P3718, DOI 10.1039/c5gc00788g; Ra CH, 2013, BIORESOURCE TECHNOL, V140, P421, DOI 10.1016/j.biortech.2013.04.122; Rajesh RO, 2018, INDIAN J EXP BIOL, V56, P493; Rajesh RO, 2020, BIOENGINEERED, V11, P19, DOI 10.1080/21655979.2019.1700093; Rajesh RO, 2019, BIORESOURCE TECHNOL, V284, P155, DOI 10.1016/j.biortech.2019.03.105; RameshKumar S, 2020, CURR OPIN GREEN SUST, V21, P75, DOI 10.1016/j.cogsc.2019.12.005; Ran H, 2014, BIOTECHNOL BIOFUELS, V7, DOI 10.1186/1754-6834-7-51; Rigo D, 2021, MOL CATAL, V514, DOI 10.1016/j.mcat.2021.111838; Saikia K, 2022, CHEMOSPHERE, V308, DOI 10.1016/j.chemosphere.2022.136567; SANCHEZ B, 1988, ENZYME MICROB TECH, V10, P315, DOI 10.1016/0141-0229(88)90135-4; Sanders JPM, 2012, CHEM ENG PROCESS, V51, P117, DOI 10.1016/j.cep.2011.08.007; Sankaran R, 2020, BIORESOURCE TECHNOL, V298, DOI 10.1016/j.biortech.2019.122476; Sayed M, 2019, ACS SUSTAIN CHEM ENG, V7, P4406, DOI 10.1021/acssuschemeng.8b06327; Serrano A, 2019, BIOTECHNOL BIOFUELS, V12, DOI 10.1186/s13068-019-1555-z; Shen GF, 2018, MOL CATAL, V455, P204, DOI 10.1016/j.mcat.2018.06.015; Shi SS, 2019, MOL CATAL, V469, P68, DOI 10.1016/j.mcat.2019.03.006; Sun K, 2020, RENEW ENERG, V154, P517, DOI 10.1016/j.renene.2020.03.030; Taherzadeh MJ, 2000, APPL MICROBIOL BIOT, V53, P701, DOI 10.1007/s002530000328; Terasawa N, 2002, FOOD SCI TECHNOL RES, V8, P28, DOI 10.3136/fstr.8.28; Todea A, 2019, POLYMERS-BASEL, V11, DOI 10.3390/polym11091402; Torres-Mayanga PC, 2019, BIOMASS BIOENERG, V130, DOI 10.1016/j.biombioe.2019.105397; TRUDGILL PW, 1969, BIOCHEM J, V113, P577, DOI 10.1042/bj1130577; van Haveren J, 2016, Patent No. [9,376,414, 9376414]; vanDeurzen MPJ, 1997, J CARBOHYD CHEM, V16, P299, DOI 10.1080/07328309708006531; Venkitasubramanian P, 2017, U.S. Patent, Patent No. [9,834,531, 9834531]; Vina-Gonzalez J, 2020, BBA-PROTEINS PROTEOM, V1868, DOI 10.1016/j.bbapap.2019.140293; Wang F, 2017, J TAIWAN INST CHEM E, V70, P1, DOI 10.1016/j.jtice.2016.10.003; Wang JG, 2018, CHINESE J POLYM SCI, V36, P720, DOI 10.1007/s10118-018-2092-0; Wang X, 2020, ACS SUSTAIN CHEM ENG, V8, P4341, DOI 10.1021/acssuschemeng.0c00058; Wang ZW, 2020, BIORESOURCE TECHNOL, V303, DOI 10.1016/j.biortech.2020.122930; Wen M, 2020, J ENERGY CHEM, V41, P20, DOI 10.1016/j.jechem.2019.04.025; Werpy T, 2004, US DOE REPORT DOEGO, DOI [10.2172/15008859, DOI 10.2172/15008859]; Wierckx N, 2011, APPL MICROBIOL BIOT, V92, P1095, DOI 10.1007/s00253-011-3632-5; Wierckx N, 2010, MICROB BIOTECHNOL, V3, P336, DOI 10.1111/j.1751-7915.2009.00158.x; Wiermans L, 2013, CHEMCATCHEM, V5, P3719, DOI 10.1002/cctc.201300683; Wordofa GG, 2018, BIOTECHNOL BIOFUELS, V11, DOI 10.1186/s13068-018-1192-y; [吴晶 Wu Jing], 2013, [生物工程学报, Chinese Journal of Biotechnology], V29, P350; Wu SL, 2020, APPL BIOCHEM BIOTECH, V191, P1470, DOI 10.1007/s12010-020-03290-1; Xia HA, 2018, RSC ADV, V8, P30875, DOI 10.1039/c8ra05308a; Xia ZH, 2020, ENZYME MICROB TECH, V134, DOI 10.1016/j.enzmictec.2019.109491; Xie JH, 2014, CHINESE J CATAL, V35, P937, DOI 10.1016/S1872-2067(14)60136-4; Xu QQ, 2020, BIOPROC BIOSYST ENG, V43, P67, DOI 10.1007/s00449-019-02205-7; Xu ZH, 2018, BIORESOURCE TECHNOL, V262, P177, DOI 10.1016/j.biortech.2018.04.077; Yang CF, 2018, J BIOSCI BIOENG, V125, P407, DOI 10.1016/j.jbiosc.2017.11.005; Yang CF, 2016, BIORESOURCE TECHNOL, V214, P311, DOI 10.1016/j.biortech.2016.04.122; Yang ZY, 2020, CATAL COMMUN, V139, DOI 10.1016/j.catcom.2020.105979; Yi GS, 2016, GREEN CHEM, V18, P979, DOI 10.1039/c5gc01584g; Yuan HB, 2018, J MICROBIOL BIOTECHN, V28, P1999, DOI 10.4014/jmb.1808.8057; Yuan HB, 2018, BIOTECHNOL BIOENG, V115, P2148, DOI 10.1002/bit.26725; Yuan HB, 2018, BIORESOURCE TECHNOL, V247, P1184, DOI 10.1016/j.biortech.2017.08.166; Zhang CY, 2019, INT J BIOL MACROMOL, V128, P132, DOI 10.1016/j.ijbiomac.2019.01.104; Zhang J, 2022, CHINESE J CATAL, V43, P2212, DOI 10.1016/S1872-2067(21)64049-4; Zhang S, 2014, J AGR FOOD CHEM, V62, P9792, DOI 10.1021/jf502623s; Zhang XY, 2020, J BIOTECHNOL, V307, P125, DOI 10.1016/j.jbiotec.2019.11.007; Zhang XY, 2019, CATALYSTS, V9, DOI 10.3390/catal9010070; Zhang XY, 2017, GREEN CHEM, V19, P4544, DOI 10.1039/c7gc01751k; Zhang Y, 2012, NEW BIOTECHNOL, V29, P345, DOI 10.1016/j.nbt.2011.09.001; Zhang ZH, 2015, ACS CATAL, V5, P6529, DOI 10.1021/acscatal.5b01491; Zhou XL, 2017, J CHEM TECHNOL BIOT, V92, P1285, DOI 10.1002/jctb.5122</t>
  </si>
  <si>
    <t>2190-6815</t>
  </si>
  <si>
    <t>2190-6823</t>
  </si>
  <si>
    <t>BIOMASS CONVERS BIOR</t>
  </si>
  <si>
    <t>Biomass Convers. Biorefinery</t>
  </si>
  <si>
    <t>2022 NOV 12</t>
  </si>
  <si>
    <t>10.1007/s13399-022-03535-5</t>
  </si>
  <si>
    <t>Energy &amp; Fuels; Engineering, Chemical</t>
  </si>
  <si>
    <t>Energy &amp; Fuels; Engineering</t>
  </si>
  <si>
    <t>6C3GH</t>
  </si>
  <si>
    <t>WOS:000881906800001</t>
  </si>
  <si>
    <t>Bonito, JC; Arango, DES</t>
  </si>
  <si>
    <t>Bonito, Justo Cuno; Soto Arango, Diana Elvira</t>
  </si>
  <si>
    <t>Internationalisation at home. The experience of doing an internship during the confinement due to COVID-19 in Colombia and Spain (2000-2020)</t>
  </si>
  <si>
    <t>HISTORIA Y MEMORIA</t>
  </si>
  <si>
    <t>Internationalisation; pandemic; technologies; doctorates</t>
  </si>
  <si>
    <t>Under the direction of researchers from the Universidad Pedagogica y Tecnologica de Colombia (UPTC) and the Universidad Pablo de Olavide de Sevilla (UPO), this work intends to analyze the experience of the internationalisation of the Doctorate in Education Sciences Rudecolombia, comparing the first in-person internship in the year 2000 with the virtual one that took place in the Covid-19 pandemic period. An analysis of the internationalisation of the at-home curriculum was carried out with the mechanisms that were established in order to reach their members, establishing links that humanize academic relationships with human challenges and virtual realities in the context of cuts to the financing of public universities in Colombia. Using the methods of social history and heuristic analysis of the sources, it is concluded that the doctoral program has from the beginning implemented internationalisation, mobility and research in the curriculum. This virtual internship showed the good practices developed by universities working as a network and the creative capacity of the collective to provide experiences in specific spaces and times, with activities permeated by human affect in distance education, solving problems related to virtual learning as well as human and institutional issues, in addition to those pertaining to the lack of financing for public universities in Colombia.</t>
  </si>
  <si>
    <t>[Bonito, Justo Cuno] Univ Pablo Olavide, Hist Amer, Seville, Spain; [Soto Arango, Diana Elvira] Univ Pedag &amp; Tecnol Colombia, Filosofia &amp; Ciencias Educ, Tunja, Colombia</t>
  </si>
  <si>
    <t>Universidad Pablo de Olavide; Universidad Pedagogica y Tecnologica de Colombia (UPTC)</t>
  </si>
  <si>
    <t>Bonito, JC (corresponding author), Univ Pablo Olavide, Hist Amer, Seville, Spain.</t>
  </si>
  <si>
    <t>jcubon@upo.es; diana.soto@uptc.edu.co</t>
  </si>
  <si>
    <t>Alaves Ruiz A, 2014, INTERCULTURALIDAD CO; Arango Soto, 2016, B HIST PROSPECTIVA U, P81; Arango Soto, 2004, REV PENSAMIENTO ACCI; CASTELLS Manuel, 1997, ERA INFORM EC SOC CU; Consejo de rectores de RUDECOLOMBIA, 2009, REV HIST EDUC LATINO, P286; Cuño Bonito Justo, 2019, Rev.hist.educ.latinoam., V21, P35, DOI 10.19053/01227238.9059; Cuño Bonito Justo, 2016, Rev.hist.educ.latinoam., V18, P241, DOI 10.19053/01227238.4374; Fandino Velasquez, 2008, U KNOWLEDGE SOC J, V4, P5, DOI [10.7238/RUSC.V4I2.306, DOI 10.7238/RUSC.V4I2.306]; Gadotti Moacir, 2008, HISTORIAS IDEAS PEDA, P199; GIBBONS M., 1997, NUEVA PRODUCCION CON; LOMNITZ L, 1994, REDES SOCIALES CULTU; Reynaga Obregon Sonia, 2004, PONENCIA PRESENTADA; Sebastian Jesus, 2000, REDES, P97; Sloep P, 2011, COMUNICAR, V19, P55, DOI 10.3916/C37-2011-02-05; Sotelo Maria del Carmen, 2009, HOSPITALIDAD ESDAI, P37; Soto Arango Diana Elvira, 2010, Rev.hist.educ.latinoam., P241; Soto Arango Diana Elvira, 2009, REV HIST EDUC LATINO, P157; Soto-Arango Diana Elvira, 2017, Hist. Educ., V21, P351, DOI 10.1590/2236-3459/66357; Tamayo Rafael Lodezma, 2011, CUADERNOS EDUCACION, V3; Wilson Kofi Bentum, 2014, J ED PRACTICE, V5, P168</t>
  </si>
  <si>
    <t>2027-5137</t>
  </si>
  <si>
    <t>2322-777X</t>
  </si>
  <si>
    <t>HIST MEMORIA</t>
  </si>
  <si>
    <t>Hist. Memoria</t>
  </si>
  <si>
    <t>10.19053/20275137.n25.2022.14542</t>
  </si>
  <si>
    <t>5D1UJ</t>
  </si>
  <si>
    <t>WOS:000864735500010</t>
  </si>
  <si>
    <t>Acevedo-Zapata, S; Sanchez, RA; Ortiz, JAT</t>
  </si>
  <si>
    <t>Acevedo-Zapata, Sandra; Arrubla Sanchez, Ricardo; Torres Ortiz, Jaime Andres</t>
  </si>
  <si>
    <t>Web accessibility in virtuality, analysis of the cultural fabric of the Internet and digital language</t>
  </si>
  <si>
    <t>HALLAZGOS-REVISTA DE INVESTIGACIONES</t>
  </si>
  <si>
    <t>Access to information, indexing language, Learning virtual, Internet, information, communication, information technology, digital technology</t>
  </si>
  <si>
    <t>Within the framework of the research project PIE 039 of the ECEDU-UNAD entitled Design of a proposal for the training of higher education leaders in management, design and innovation of curricular processes relevant to the needs of the national and international context a methodology was used descriptive with exploratory, descriptive, systematization and analytical stages following Hurtado (2000). Which allowed to identify that web accessibility in virtuality evidencing a transformation in communication practices in which transformations are presented that through the analysis of the cultural fabric of the internet from which they were configured as conceptual categories, these were: cyberspace and borders blurred knowledge, digital universality, overcoming the gaps, writing and access to the Internet and scientific discourse, the Internet and the new interconnections.</t>
  </si>
  <si>
    <t>[Acevedo-Zapata, Sandra] Univ Nacl Abierta &amp; Distancia UNAD, Bogota, Colombia; [Arrubla Sanchez, Ricardo] Univ Area Andina, Bogota, Colombia; [Torres Ortiz, Jaime Andres] Univ Pedag &amp; Tecnol Colombia UPTC, Tunja, Colombia</t>
  </si>
  <si>
    <t>Fundacion Universitaria del Area Andina; Universidad Pedagogica y Tecnologica de Colombia (UPTC)</t>
  </si>
  <si>
    <t>Acevedo-Zapata, S (corresponding author), Univ Nacl Abierta &amp; Distancia UNAD, Bogota, Colombia.</t>
  </si>
  <si>
    <t>sandra.acevedo@unad.edu.co; rarrubla@areandina.edu.co; jaime.torres@uptc.edu.co</t>
  </si>
  <si>
    <t>AcevedoZapata S., 2020, REV INTERAM INVESTIG, V13, P113; Becerra Mayorga Witton, 2016, Hallazgos, V13, P111; Bordia P, 1996, BEHAV RES METH INSTR, V28, P149, DOI 10.3758/BF03204753; Botello H. A., 2014, ANFORA REV CIENTIFIC, V21, P21; Calvo M., 1995, INNOVACION CIENCIA, V4, P10; Castells M., 2010, COMUNICACION PODER; Chomsky N., 2017, OPTIMISMO DESALIENTO; Chomsky N, 2011, LANG LEARN DEV, V7, P263, DOI 10.1080/15475441.2011.584041; De Sousa Santos B., 2017, EPISTEMOLOGIAS; Díaz Pérez Vianney Rocío, 2014, Hallazgos, V11, P183, DOI 10.15332/s1794-3841.2014.0022.10; Fainholc B, 2012, TECNOLOGIA ED; Goss H A, 2017, ENHANCE YOUR SCI SOC; Grazzi Matteo, 2011, ICT LATIN AM MICRODA, P11; Guattari F., 2015, QUE ES LA ECOSOFIA; Gutierrez J., 2011, KATHARSIS, P27; Han B, 2017, PSICOPOLITICA; Harari Y, 2019, HOMO DEUS BREVE HIST; Hassan Montero Y., 2003, METODO TEST CONUSUAR; Hassan Montero Y., 2003, PROFESIONAL INFORM, V13, P93; Hermelin D., 2011, REV CIENCIA TECNOLOG, P107; Huergo G., 2000, CULTURA ESCOLAR CULT; Huizingh K. R. E, 2000, INFORM MANAGE-AMSTER, P123; Lakoff G, 2000, MATH COMES EMBODIED; Levy J., 2001, REV ORG LATINOAMERIC, V3, DOI [10.22409/GEOgraphia2001.v3i6.a13407, DOI 10.22409/GEOGRAPHIA2001.V3I6.A13407]; Manovich L., 2005, 1000 DAYS THEORY; Manovich Lev, 2005, LENGUAJE NUEVOS MEDI; Martinez-Coral P.E, 2018, REV INGENIERIA INVES, V18, P34; Monereo C, 2005, INTERNET COMPETENCIA; Musch J., 2000, Psychological Experiments on The Internet, P61, DOI [10.1016/B978-012099980-4/50004-6, DOI 10.1016/B978-012099980-4/50004-6]; PETRUCCI Armando, 2002, CIENCIA ESCRITURA PR; Pierpoint L., 2011, ELECTRICITY J ELSEVI, V24, P53, DOI DOI 10.1016/J.TEJ.2011.06.001; REBIUN, 2010, CIENC 2 0 APL WEB SO; Robbins SS, 2003, INFORM MANAGE-AMSTER, V40, P205, DOI 10.1016/S0378-7206(02)00002-2; Ruiz Rodríguez Norma Julieth, 2014, Hallazgos, V11, P435, DOI 10.15332/s1794-3841.2014.0022.22; Salamanca S. W, 2015, HALLAZGOS, V1, DOI [10.15332/s1794-3841.2004.0001.04, DOI 10.15332/S1794-3841.2004.0001.04]; Sánchez Galvis Martha, 2010, Journal of Technology Management &amp; Innovation, V5, P108, DOI 10.4067/S0718-27242010000100009; Santos Pastor M., 2011, EVALTRENDS EVALUAR A, P437; Scolari C., 2015, ECOLOGIA MEDIOS ENTO; Skinner B. F., 1977, MAS LIBERTAD DIGNIDA; Vogel S, 1996, ENVIRON BEHAV, V28, P591, DOI 10.1177/001391659602800502; Xiang M., 2016, IND TRUJILLO 0829, V216, p115, DOI 10.13458/j.cnki.flatt.004300</t>
  </si>
  <si>
    <t>UNIV SANTO TOMAS</t>
  </si>
  <si>
    <t>CRA 9 NRO 51 11, BOGOTA, 00000, COLOMBIA</t>
  </si>
  <si>
    <t>1794-3841</t>
  </si>
  <si>
    <t>2422-409X</t>
  </si>
  <si>
    <t>HALLAZGOS</t>
  </si>
  <si>
    <t>Hallazgos</t>
  </si>
  <si>
    <t>Area Studies</t>
  </si>
  <si>
    <t>6S6TO</t>
  </si>
  <si>
    <t>WOS:000893117600002</t>
  </si>
  <si>
    <t>Blanco-Vargas, C; Vargas, N; Pena-Canon, R</t>
  </si>
  <si>
    <t>Blanco-Vargas, Catalina; Vargas, Natalia; Pena-Canon, Rocio</t>
  </si>
  <si>
    <t>Edge effect on the diversity and colonization of ectomycorrhizae of Quercus humboldtii. (FAGACEAE) in Arcabuco- Boyaca-Colombia</t>
  </si>
  <si>
    <t>Edge effect; Botanical composition; Ectomycorrhizae; Oak; Root colonization</t>
  </si>
  <si>
    <t>LIGHT AVAILABILITY; FUNGAL COMMUNITIES; INVASIVE PLANT; OAK; SEEDLINGS; IDENTITY; FORESTS; GROWTH</t>
  </si>
  <si>
    <t>The oak forests in Colombia are dominated by the species Quercus humboldtii Bonpl. which is in the vulnerable category due to deforestation to generate crops, livestock areas and plantations of exotic species, causing the formation of edges due to the deterioration of the ecosystem. These forests establish symbiotic associations with species of ectomycorrhizal fungi, allowing the exchange of nutrients and water between fungal hyphae and plant roots. This study analyzes the edge effect in the interior (BNI-C) and at the edge of an undisturbed oak forest (BNI-B), in addition to two forest edges with anthropogenic intervention, one in contact with a plantation of Eucalyptus sp. (BE) and another with cattle ranching (BG). The forest edge was established by measuring environmental variables (ambient temperature, luminosity, temperature, and soil humidity). Oak roots were collected from seven trees at the interior and edge of each forest and the quantification of colonization and morphological characterization of ectomycorrhizae was made. The edge effect was evidenced in the degree of ectomycorrhizal colonization in the roots of Q. humboldtii with percentages of 18 to 30 % in BNI, 15 % in BE and 47 % in BG. The ectomycorrhizal genera Cenococcum sp. and Lactarius sp. showed the highest abundance in the three forests, varying considerably near the edges in BG and BE. Changes in the percentage of colonization and morphotype diversity of ectomycorrhizae were evidenced at the forest edge in contact with the two disturbed areas.</t>
  </si>
  <si>
    <t>[Blanco-Vargas, Catalina; Pena-Canon, Rocio] Univ Pedag &amp; Tecnol Colombia, Escuela Biol, Grp Invest Biol Conservac, Ave Cent Norte 39-115, Tunja, Colombia; [Vargas, Natalia] Univ Los Andes, Cra 1 18a-12, Bogota, Cundinamarca, Colombia</t>
  </si>
  <si>
    <t>Blanco-Vargas, C (corresponding author), Univ Pedag &amp; Tecnol Colombia, Escuela Biol, Grp Invest Biol Conservac, Ave Cent Norte 39-115, Tunja, Colombia.</t>
  </si>
  <si>
    <t>catalina.blanco961@gmail.com</t>
  </si>
  <si>
    <t>AGERER R, 1991, METHOD MICROBIOL, V23, P25; Agerer R, 2006, MYCOL PROG, V5, P67, DOI 10.1007/s11557-006-0505-x; [Anonymous], 2008, PLAN DESARROLLO ARCA, P6; Avella Muñoz Andrés, 2010, Colomb. for., V13, P5; Bainard LD, 2011, MYCORRHIZA, V21, P91, DOI 10.1007/s00572-010-0314-6; Brundrett M, 2004, BIOL REV, V79, P473, DOI 10.1017/S1464793103006316; Brundrett M, 1996, ACIAR MONOGRAPH, P32, DOI DOI 10.1046/J.1469-8137.1997.00703-7.X; Chao A, 2012, ECOLOGY, V93, P2533, DOI 10.1890/11-1952.1; Corporacion Autonoma Regional de Cundinamarca, 2016, PLAN MAN CONS ROBL Q; Crockatt Martha E., 2012, Fungal Biology Reviews, V26, P94, DOI 10.1016/j.fbr.2012.08.002; de Witte LC, 2017, SCI TOTAL ENVIRON, V605, P1083, DOI 10.1016/j.scitotenv.2017.06.142; Dickie IA, 2005, J ECOL, V93, P244, DOI 10.1111/j.1365-2745.2005.00977.x; Ewers RM, 2006, J APPL ECOL, V43, P527, DOI 10.1111/j.1365-2664.2006.01151.x; GEHRING CA, 1994, AM J BOT, V81, P1509, DOI 10.2307/2445327; Gutierrez F, 2006, ESTADO CONOCIMIENTO, P158; Herzog C, 2013, PLANT BIOLOGY, V15, P230, DOI 10.1111/j.1438-8677.2012.00614.x; Hylander K, 2005, J APPL ECOL, V42, P518, DOI 10.1111/j.1365-2664.2005.01033.x; Instituto de Hidrologia Meteorologia y Estudios Ambientales (IDEAM), 2019, MON SEG FEN DEF COL; Jany JL, 2002, NEW PHYTOL, V154, P651, DOI 10.1046/j.1469-8137.2002.00408.x; Jost L., 2018, METODE, V98, P39, DOI [10.7203/metode.9.11472, DOI 10.7203/METODE.9.11472]; Kummel M, 2011, BOTANY, V89, P439, DOI [10.1139/B11-033, 10.1139/b11-033]; LoBuglio KF, 1999, CENOCOCCUM, P287, DOI DOI 10.1007/978-3-662-06827-4_12; Lothamer K, 2014, MYCORRHIZA, V24, P267, DOI 10.1007/s00572-013-0539-2; Miller-Rushing AJ, 2019, BIOL CONSERV, V232, P271, DOI 10.1016/j.biocon.2018.12.029; MURCIA C, 1995, TRENDS ECOL EVOL, V10, P58, DOI 10.1016/S0169-5347(00)88977-6; NeriLuna C., 2012, INTERACCIONES ECOLOG, P37; Palacio J. D, 2006, PRIMER S INT ROBLE E, P57; Pena-Venegas CP, 2019, FUNG BIOL-US, P111, DOI 10.1007/978-3-030-15228-4_6; PHILLIPS JM, 1970, T BRIT MYCOL SOC, V55, P158, DOI 10.1016/S0007-1536(70)80110-3; Porensky LM, 2013, CONSERV BIOL, V27, P509, DOI 10.1111/cobi.12042; Richard F, 2004, CAN J BOT, V82, P1711, DOI [10.1139/b04-128, 10.1139/B04-128]; RStudio Team, 2022, RSTUDIO INT DEV ENV; Ruckli R, 2016, PERSPECT PLANT ECOL, V19, P12, DOI 10.1016/j.ppees.2016.01.005; Magnago LFS, 2015, BIODIVERS CONSERV, V24, P2305, DOI 10.1007/s10531-015-0961-1; SINGER ROLF, 1963, MYCOPATHOL E MYCOL APPL, V20, P239, DOI 10.1007/BF02089212; Smith SE, 2008, MYCORRHIZAL SYMBIOSIS, 3RD EDITION, P191, DOI 10.1016/B978-012370526-6.50008-8; Suz LM, 2017, FOREST ECOL MANAG, V406, P370, DOI 10.1016/j.foreco.2017.09.030; Systat Software, 2011, SIGMAPLOT WIND VERS; Turner GD, 2009, CAN J FOREST RES, V39, P1247, DOI 10.1139/X09-051; Vargas N., 2020, Mushrooms, Humans and Nature in a Changing World, P425, DOI 10.1007/978-3-030-37378-8_16; Vargas N, 2017, MYCOLOGIA, V109, P261, DOI 10.1080/00275514.2017.1309631; Vasco-Palacios A., 2007, RESERVA NATURAL REGI, P156; Vasco-Palacios A. M., 2021, DIVERSITY COLOMBIAN, V2, DOI [10.15472/o8vo29, DOI 10.15472/O8VO29]; Wolfe BE, 2008, J ECOL, V96, P777, DOI 10.1111/j.1365-2745.2008.01389.x; Zhou MY, 1997, FOREST ECOL MANAG, V93, P91, DOI 10.1016/S0378-1127(96)03938-2</t>
  </si>
  <si>
    <t>10.15446/abc.v27n3.96342</t>
  </si>
  <si>
    <t>8S2EI</t>
  </si>
  <si>
    <t>WOS:000928396900013</t>
  </si>
  <si>
    <t>Angarita, MAO; Canadas, AM; Funeme, CC; Mendez, OM; Serna, RJ</t>
  </si>
  <si>
    <t>Osorio Angarita, Maria Alejandra; Moreno Canadas, Agustin; Camilo Funeme, Cristian; Mendez, Odette M.; Serna, Robinson-Julian</t>
  </si>
  <si>
    <t>Cayley Hash Values of Brauer Messages and Some of Their Applications in the Solutions of Systems of Differential Equations</t>
  </si>
  <si>
    <t>COMPUTATION</t>
  </si>
  <si>
    <t>Brauer configuration algebra; Brauer message; Cayley graph; Cayley hash; path algebra; quiver representation</t>
  </si>
  <si>
    <t>Cayley hash values are defined by paths of some oriented graphs (quivers) called Cayley graphs, whose vertices and arrows are given by elements of a group H. On the other hand, Brauer messages are obtained by concatenating words associated with multisets constituting some configurations called Brauer configurations. These configurations define some oriented graphs named Brauer quivers which induce a particular class of bound quiver algebras named Brauer configuration algebras. Elements of multisets in Brauer configurations can be seen as letters of the Brauer messages. This paper proves that each point (x, y) is an element of V = R\{0}x R\{0} has an associated Brauer configuration algebra Lambda(B)(x,y) induced by a Brauer configuration B-(x,B- y). Additionally, the Brauer configuration algebras associated with points in a subset of the form (left perpendicular(x)right perpendicular, inverted right perpendicular(x)inverted left perpendicular] x (left perpendicular(y)right perpendicular, inverted right perpendicular(y)inverted left perpendicular] subset of V have the same dimension. We give an analysis of Cayley hash values associated with Brauer messages M(B-(x,B-y)) defined by a semigroup generated by some appropriated matrices A(0), A(1), A(2) is an element of GL(2, R) over a commutative ring R. As an application, we use Brauer messages M(B( x,y)) to construct explicit solutions for systems of linear and nonlinear differential equations of the form X ''(t) + MX(t) = 0 and X'(t) - X-2(t)N(t) = N(t) for some suitable square matrices, M and N(t). Python routines to compute Cayley hash values of Brauer messages are also included.</t>
  </si>
  <si>
    <t>[Osorio Angarita, Maria Alejandra] Univ Pedag &amp; Tecnol Colombia, Fac Ingn, Escuela Ingn Sistemas, Ave Cent Norte 39-115, Tunja 150003, Colombia; [Moreno Canadas, Agustin; Camilo Funeme, Cristian; Mendez, Odette M.] Univ Nacl Colombia, Dept Matemat, Edificio Yu Takeuchi 404,Kra 30 45-03, Bogota 11001000, Colombia; [Serna, Robinson-Julian] Univ Pedag &amp; Tecnol Colombia, Escuela Matemat &amp; Estadist, Ave Cent Norte 39-115, Tunja 150003, Colombia</t>
  </si>
  <si>
    <t>Universidad Pedagogica y Tecnologica de Colombia (UPTC); Universidad Nacional de Colombia; Universidad Pedagogica y Tecnologica de Colombia (UPTC)</t>
  </si>
  <si>
    <t>Serna, RJ (corresponding author), Univ Pedag &amp; Tecnol Colombia, Escuela Matemat &amp; Estadist, Ave Cent Norte 39-115, Tunja 150003, Colombia.</t>
  </si>
  <si>
    <t>robinson.serna@uptc.edu.co</t>
  </si>
  <si>
    <t>Moreno Canadas, Agustin/0000-0001-6812-5131; Serna, Robinson/0000-0001-5858-5011; Funeme Mateus, Cristian Camilo/0000-0002-9158-427X; Mendez, Odette M/0000-0003-3953-2381</t>
  </si>
  <si>
    <t>Universidad Nacional de Colombia [907]; Seminar Alexander Zavadskij on Representation of Algebras and their Applications, Universidad Nacional de Colombia</t>
  </si>
  <si>
    <t>Universidad Nacional de Colombia; Seminar Alexander Zavadskij on Representation of Algebras and their Applications, Universidad Nacional de Colombia</t>
  </si>
  <si>
    <t>Seminar Alexander Zavadskij on Representation of Algebras and their Applications, Universidad Nacional de Colombia. The fourth author was partially supported by MinCienciasColombia, Convocatoria 907 de 2021.</t>
  </si>
  <si>
    <t>Assem I., 2006, TECHNIQUES REPRESENT, V1; Cassaigne J, 1999, INT J ALGEBR COMPUT, V9, P295, DOI 10.1142/S0218196799000199; Charles DX, 2009, J CRYPTOL, V22, P93, DOI 10.1007/s00145-007-9002-x; Espinosa P.F.F, 2020, THESIS U NACL COLOMB; Grassl M, 2016, LECT NOTES COMPUT SC, V9606, P29, DOI 10.1007/978-3-319-29360-8_3; Grassl M, 2011, J CRYPTOL, V24, P148, DOI 10.1007/s00145-010-9063-0; Green EL, 2021, ALGEBR REPRESENT TH, V24, P367, DOI 10.1007/s10468-020-09951-3; Green EL, 2017, B SCI MATH, V141, P539, DOI 10.1016/j.bulsci.2017.06.001; LUBOTZKY A, 1988, COMBINATORICA, V8, P261, DOI 10.1007/BF02126799; Canadas AM, 2022, MATHEMATICS-BASEL, V10, DOI 10.3390/math10050729; Canadas AM, 2021, MATHEMATICS-BASEL, V9, DOI 10.3390/math9161937; Mullan C, 2016, DESIGN CODE CRYPTOGR, V81, P83, DOI 10.1007/s10623-015-0129-8; Muneton N, 2021, MATHEMATICS-BASEL, V9, DOI 10.3390/math9233042; National Academies of Sciences Engineering and Medicine, 2019, QUANT COMP PROGR PRO, DOI DOI 10.17226/25196; Angarita MAO, 2021, MULTIMED TOOLS APPL, V80, P23485, DOI 10.1007/s11042-020-10239-3; Petit C, 2009, THESIS U CATHOLIQUE; Petit C, 2008, LECT NOTES COMPUT SC, V5229, P263, DOI 10.1007/978-3-540-85855-3_18; Petit C, 2011, LECT NOTES COMPUT SC, V6544, P282, DOI 10.1007/978-3-642-19574-7_20; Sierra CA, 2018, J ALGEBRA, V510, P289, DOI 10.1016/j.jalgebra.2018.06.002; Sosnovski B., 2016, THESIS CITY U NEW YO; Stinson D., 1995, CRYPTOGRAPHY THEORY; Tillich J.-P., 1994, Algebraic Coding. First French-Israeli Workshop Proceedings, P90; Tillich J.-P., 1994, Advances in Cryptology - CRYPTO '94. 14th Annual International Cryptology Conference. Proceedings, P40; ZEMOR G, 1991, LECT NOTES COMPUT SC, V547, P508</t>
  </si>
  <si>
    <t>2079-3197</t>
  </si>
  <si>
    <t>Computation</t>
  </si>
  <si>
    <t>10.3390/computation10090164</t>
  </si>
  <si>
    <t>Mathematics, Interdisciplinary Applications</t>
  </si>
  <si>
    <t>4T4QF</t>
  </si>
  <si>
    <t>WOS:000858103200001</t>
  </si>
  <si>
    <t>Vargas-Montanez, N; Fuentes-Mejia, C; Pena-Murcia, D</t>
  </si>
  <si>
    <t>Vargas-Montanez, Nelson; Fuentes-Mejia, Cristina; Pena-Murcia, Deysi</t>
  </si>
  <si>
    <t>Cinema: an Educational Alternative of Culture of Peace in Schools</t>
  </si>
  <si>
    <t>Pedagogy; Cinema; Peace; Culture of Peace; Teaching-Learning</t>
  </si>
  <si>
    <t>In education, there is a broad debate about didactic strategies that enable teaching-learning processes in the classroom. That is crucial in the face of discourses in Colombian education such as the culture of peace. Therefore, the cinema could be an alternative to building an environment for learning and teaching. For these reasons, this article reflects on the construct of peace and its relationship with the discourses of 'teaching for the culture of peace', as well as the idea of cinema as an educational alternative. For the methodological development, a search of bibliographic material was carried out, especially published articles that addressed research related to: 'peace', 'culture of peace', and 'cinema and education'. As a result of reading and analysis of the documents found, it was possible to conclude that the idea of cinema is a valuable pedagogical tool that mobilizes favorable teaching-learning processes in the classroom. Therefore, cinema is a resource that makes possible the teaching and promotion of the construction of a culture of peace in the territory.</t>
  </si>
  <si>
    <t>[Vargas-Montanez, Nelson; Pena-Murcia, Deysi] Univ Pedag &amp; Tecnol Colombia, Tunja, Colombia; [Fuentes-Mejia, Cristina] Univ Nacl Colombia, Bogota, Colombia</t>
  </si>
  <si>
    <t>Vargas-Montanez, N (corresponding author), Univ Pedag &amp; Tecnol Colombia, Tunja, Colombia.</t>
  </si>
  <si>
    <t>1920129x@umich.mx; crfuentesm@unal.edu.co; deysiconstanza.pena@uptc.edu.co</t>
  </si>
  <si>
    <t>10.21676/23897856.3870</t>
  </si>
  <si>
    <t>H0CP1</t>
  </si>
  <si>
    <t>WOS:000992732800007</t>
  </si>
  <si>
    <t>Suarez, H; Chacon, A; Reyes, A</t>
  </si>
  <si>
    <t>Suarez, Hector; Chacon, Andres; Reyes, Armando</t>
  </si>
  <si>
    <t>On NI and NJ skew PBW extensions</t>
  </si>
  <si>
    <t>COMMUNICATIONS IN ALGEBRA</t>
  </si>
  <si>
    <t>Jacobson radical; Levitzki radical; NI ring; NJ ring; skew PBW extension; skew polynomial ring</t>
  </si>
  <si>
    <t>TOPOLOGICAL CONDITIONS; JACOBSON RADICALS; PRIME IDEALS; RINGS</t>
  </si>
  <si>
    <t>We establish necessary or sufficient conditions to guarantee that skew Poincare-Birkhoff-Witt extensions are NI or NJ rings. Our results extend those corresponding for skew polynomial rings and establish similar properties for other families of noncommutative rings such as universal enveloping algebras and examples of differential operators.</t>
  </si>
  <si>
    <t>[Suarez, Hector] Univ Pedag &amp; Tecnol Colombia, Sede Tunja, Escuela Matemat &amp; Estadist, Tunja, Colombia; [Chacon, Andres; Reyes, Armando] Univ Nacl Colombia, Dept Math, Sede Bogota, Campus Univ, Bogota, Colombia</t>
  </si>
  <si>
    <t>Reyes, A (corresponding author), Univ Nacl Colombia, Dept Math, Sede Bogota, Campus Univ, Bogota, Colombia.</t>
  </si>
  <si>
    <t>mareyesv@unal.edu.co</t>
  </si>
  <si>
    <t>Faculty of Science, Universidad Nacional de Colombia - Sede Bogota, Colombia [HERMES 52464]</t>
  </si>
  <si>
    <t>Faculty of Science, Universidad Nacional de Colombia - Sede Bogota, Colombia</t>
  </si>
  <si>
    <t>The authors were supported by the research fund of Faculty of Science, Code HERMES 52464, Universidad Nacional de Colombia - Sede Bogota, Colombia.</t>
  </si>
  <si>
    <t>Annin S, 2004, J ALGEBRA APPL, V3, P193, DOI 10.1142/S0219498804000782; Artamonov VA, 2015, COMMUN MATH STAT, V3, P449, DOI 10.1007/s40304-015-0067-9; BELL AD, 1988, PAC J MATH, V131, P13, DOI 10.2140/pjm.1988.131.13; Bell S.P., 1990, SOME 3 DIMENSIONAL S; Bergen J, 2012, J PURE APPL ALGEBRA, V216, P2601, DOI 10.1016/j.jpaa.2012.03.023; Cassidy T, 2010, J LOND MATH SOC, V81, P91, DOI 10.1112/jlms/jdp057; Fajardo W., 2020, SKEW PBW EXTENSIONS; Gallego C, 2011, COMMUN ALGEBRA, V39, P50, DOI 10.1080/00927870903431209; Hamidizadeh M, 2020, INT ELECTRON J ALGEB, V28, P75, DOI 10.24330/ieja.768178; Han J, 2021, COMMUN ALGEBRA, V49, P621, DOI 10.1080/00927872.2020.1813744; Hashemi E, 2019, MATEMATICHE, V74, P141, DOI 10.4418/2019.74.1.10; Hashemi E., 2019, J ALGEBR SYST, V7, P1, DOI [DOI 10.22044/JAS.2018.6762.1333, 10.22044/JAS.2018.6762.1333]; Hashemi E, 2017, KYUNGPOOK MATH J, V57, P401, DOI 10.5666/KMJ.2017.57.3.401; Huh C, 2004, J PURE APPL ALGEBRA, V189, P195, DOI 10.1016/j.jpaa.2003.10.032; Hwang SU, 2006, J ALGEBRA, V302, P186, DOI 10.1016/j.jalgebra.2006.02.032; Jiang MM, 2019, TURK J MATH, V43, P44, DOI 10.3906/mat-1805-103; Jimenez H., 2016, ACTA MATH ACAD PAEDA, V32, P39; Lam T.Y., 1991, 1 COURSE NONCOMMUTAT; LEBRUYN L, 1995, J ALGEBRA, V177, P142, DOI 10.1006/jabr.1995.1290; Lezama O, 2020, INT J ALGEBR COMPUT, V30, P1625, DOI 10.1142/S0218196720500575; Lezama O, 2019, SYMMETRY-BASEL, V11, DOI 10.3390/sym11070881; Lezama O, 2016, SAO PAULO J MATH SCI, V10, P60, DOI 10.1007/s40863-015-0010-8; Lezama O, 2017, INT J ALGEBR COMPUT, V27, P361, DOI 10.1142/S0218196717500199; Lezama O, 2015, REV UNION MAT ARGENT, V56, P39; Lezama O, 2014, COMMUN ALGEBRA, V42, P1200, DOI 10.1080/00927872.2012.735304; Louzari Mohamed, 2020, Rev.colomb.mat., V54, P39; Marks G, 2003, J ALGEBRA, V266, P494, DOI 10.1016/S0021-8693(03)00301-6; Marks G, 2001, COMMUN ALGEBRA, V29, P2113, DOI 10.1081/AGB-100002173; Nasr-Isfahani AR, 2015, COMMUN ALGEBRA, V43, P5113, DOI 10.1080/00927872.2014.957385; Nasr-Isfahani A, 2014, CAN MATH BULL, V57, P609, DOI 10.4153/CMB-2014-018-9; Nino A, 2020, ALGEBRA DISCRET MATH, V30, P207, DOI 10.12958/adm1307; Nino A, 2020, COMMUN ALGEBRA, V48, P5038, DOI 10.1080/00927872.2020.1778012; Ore O, 1933, ANN MATH, V34, P480, DOI 10.2307/1968173; Lezama JO, 2020, COMMUN ALGEBRA, V48, P866, DOI 10.1080/00927872.2019.1666404; Reyes A, 2020, J ALGEBRA APPL, V19, DOI 10.1142/S0219498820502254; Reyes A, 2021, COMMUN MATH STAT, V9, P119, DOI 10.1007/s40304-019-00189-0; Reyes A, 2021, COMMUN MATH STAT, V9, P1, DOI 10.1007/s40304-019-00184-5; Reyes A, 2019, BEITR ALGEBR GEOM, V60, P197, DOI 10.1007/s13366-018-0412-8; Reyes A, 2018, REV UNION MAT ARGENT, V59, P157; Reyes A, 2017, ADV APPL CLIFFORD AL, V27, P3197, DOI 10.1007/s00006-017-0800-4; REYES ARMANDO, 2015, Integración - UIS, V33, P173; Rosenberg A., 1995, NONCOMMUTATIVE ALGEB, P330; SHIN G, 1973, T AM MATH SOC, V184, P43, DOI 10.2307/1996398; SUÁREZ HÉCTOR, 2017, Rev.colomb.mat., V51, P221; Suarez H, 2017, COMMUN ALGEBRA, V45, P4569, DOI 10.1080/00927872.2016.1272694; Tumwesigye A.B., 2020, ALGEBRAIC STRUCTURES, V317; Gomez JY, 2020, COMMUN ALGEBRA, V48, P185, DOI 10.1080/00927872.2019.1635610; Zambrano BA, 2020, ALGEBRA DISCRET MATH, V29, P277, DOI 10.12958/adm1037</t>
  </si>
  <si>
    <t>0092-7872</t>
  </si>
  <si>
    <t>1532-4125</t>
  </si>
  <si>
    <t>COMMUN ALGEBRA</t>
  </si>
  <si>
    <t>Commun. Algebr.</t>
  </si>
  <si>
    <t>AUG 3</t>
  </si>
  <si>
    <t>10.1080/00927872.2022.2028799</t>
  </si>
  <si>
    <t>1M8HG</t>
  </si>
  <si>
    <t>hybrid, Green Submitted</t>
  </si>
  <si>
    <t>WOS:000752320300001</t>
  </si>
  <si>
    <t>Prieto-Novoa, G; Vallejo, F; Piamba, O; Olaya, J; Pineda, Y</t>
  </si>
  <si>
    <t>Prieto-Novoa, Gina; Vallejo, Fabio; Piamba, Oscar; Olaya, Jhon; Pineda, Yaneth</t>
  </si>
  <si>
    <t>Effects of Cr Concentration on the Structure and the Electrical and Optical Properties of Ti-Al-Cr-N Thin Films Prepared by Means of Reactive Co-Sputtering</t>
  </si>
  <si>
    <t>Ti-Al-Cr-N; electrical properties; optical properties; sputtering</t>
  </si>
  <si>
    <t>OXIDATION RESISTANCE; THERMAL-STABILITY; NITRIDE COATINGS; HARD COATINGS; PERFORMANCE; TEMPERATURE; MICROSTRUCTURE; RESISTIVITY; DEPOSITION; SCATTERING</t>
  </si>
  <si>
    <t>Thin films of Ti-Al-Cr-N were deposited onto glass substrates by means of the reactive magnetron co-sputtering of pure Cr and TiAl alloy targets in an atmosphere of Ar and N-2. This investigation was carried out by adjusting the Cr-target power in order to increase the Cr amount in the films. The crystal structure of the films was investigated via X-ray diffraction (XRD). The elemental composition of the coatings was determined using Auger electron spectroscopy (AES). The electrical resistivity was measured using the four-point probe method, and the optical properties were characterized via ultraviolet/visible (UV/Vis) spectroscopy. The experimental results showed that, with a Cr concentration between 0 at% and 11.6 at%, a transition between phases from a single-phase hexagonal wurtzite-type structure to a single-phase cubic NaCl-type structure took place. The addition of Cr increased the crystallite size and, with it, the roughness of the coatings. All of the coatings exhibited an ohmic behavior at room temperature, and their surface electrical resistivity decreased from 490.1 +/- 43.4 omega cm to 1.5 +/- 0.1 omega cm as the chromium concentration increased. The transmittance of the coatings decreased, and the optical band gap (Egap) went from 3.5 eV to 2.3 eV with the addition of Cr. These electrical and optical properties have not been previously reported for these films.</t>
  </si>
  <si>
    <t>[Prieto-Novoa, Gina; Vallejo, Fabio; Piamba, Oscar; Olaya, Jhon] Univ Nacl Colombia, Dept Ingn Mecan &amp; Mecatron, Bogota 111321, Colombia; [Pineda, Yaneth] Univ Pedag &amp; Tecnol Colombia, Fac Ingn, Ave Cent Norte 39-115, Tunja 150003, Colombia</t>
  </si>
  <si>
    <t>Piamba, O (corresponding author), Univ Nacl Colombia, Dept Ingn Mecan &amp; Mecatron, Bogota 111321, Colombia.</t>
  </si>
  <si>
    <t>oepiambat@unal.edu.co</t>
  </si>
  <si>
    <t>Vallejo Bastidas, Fabio Fernando/0000-0001-6427-2054</t>
  </si>
  <si>
    <t>Anders A, 2006, THIN SOLID FILMS, V502, P22, DOI 10.1016/j.tsf.2005.07.228; Apetz R, 2003, J AM CERAM SOC, V86, P480, DOI 10.1111/j.1151-2916.2003.tb03325.x; Barshilia HC, 2008, SOL ENERG MAT SOL C, V92, P1425, DOI 10.1016/j.solmat.2008.06.004; BECK U, 1993, SURF COAT TECH, V60, P389, DOI 10.1016/0257-8972(93)90119-9; Bouzakis KD, 2012, CIRP ANN-MANUF TECHN, V61, P703, DOI 10.1016/j.cirp.2012.05.006; Brandes E.A., 2013, SMITHELLS METALS REF, V7th; Cimalla V, 2007, J PHYS D APPL PHYS, V40, P6386, DOI 10.1088/0022-3727/40/20/S19; Danek M, 2017, SURF COAT TECH, V313, P158, DOI 10.1016/j.surfcoat.2017.01.053; Dimitriadis CA, 1999, J APPL PHYS, V85, P4238, DOI 10.1063/1.370336; Eckstein W, 2007, TOP APPL PHYS, V110, P33; Fernandes F, 2018, TRIBOL INT, V119, P345, DOI 10.1016/j.triboint.2017.11.008; Forsen R, 2012, J VAC SCI TECHNOL A, V30, DOI 10.1116/1.4757953; Fox-Rabinovich GS, 2009, SURF COAT TECH, V204, P489, DOI 10.1016/j.surfcoat.2009.08.021; Fox-Rabinovich GS, 2005, SURF COAT TECH, V200, P1804, DOI 10.1016/j.surfcoat.2005.08.057; Girotto EM, 2002, QUIM NOVA, V25, P639, DOI 10.1590/S0100-40422002000400019; Palacios AMG, 2020, MATER RES-IBERO-AM J, V23, DOI [10.1590/1980-5373-MR-2019-0687, 10.1590/1980-5373-mr-2019-0687]; Harris SG, 2003, WEAR, V254, P723, DOI 10.1016/S0043-1648(03)00258-8; Hasani E, 2018, SURF ENG, V34, P915, DOI 10.1080/02670844.2017.1401278; Hauert R, 2000, ADV ENG MATER, V2, P247, DOI 10.1002/(SICI)1527-2648(200005)2:5&lt;247::AID-ADEM247&gt;3.0.CO;2-U; HOFMANN S, 1990, THIN SOLID FILMS, V193, P648, DOI 10.1016/0040-6090(90)90216-Z; Olaya JJ, 2010, ING INVEST, V30, P125; Jalali R, 2016, APPL PHYS A-MATER, V122, DOI 10.1007/s00339-016-0515-8; Kassavetis S, 2016, SURF COAT TECH, V295, P125, DOI 10.1016/j.surfcoat.2015.08.049; Kimura A, 1999, SURF COAT TECH, V120, P438, DOI 10.1016/S0257-8972(99)00491-0; Koutsokeras L., 2010, THESIS U IOANNINA CO; Kutschej K, 2005, SURF COAT TECH, V200, P2358, DOI 10.1016/j.surfcoat.2004.12.008; Li T, 2017, INT J REFRACT MET H, V69, P247, DOI 10.1016/j.ijrmhm.2017.08.020; Londono-Menjura RF, 2018, APPL SURF SCI, V427, P1096, DOI 10.1016/j.apsusc.2017.07.215; Luo HM, 2009, ADV MATER, V21, P193, DOI 10.1002/adma.200801959; Manaud JP, 2007, SURF COAT TECH, V202, P222, DOI 10.1016/j.surfcoat.2007.05.024; Marom H, 2006, THIN SOLID FILMS, V510, P62, DOI 10.1016/j.tsf.2005.12.155; Matenoglou GM, 2009, APPL PHYS LETT, V94, DOI 10.1063/1.3119694; Musil J, 2012, SURF COAT TECH, V207, P50, DOI 10.1016/j.surfcoat.2012.05.073; Musil J, 2000, SURF COAT TECH, V125, P322, DOI 10.1016/S0257-8972(99)00586-1; Musil J, 1998, MATER CHEM PHYS, V54, P116, DOI 10.1016/S0254-0584(98)00020-0; Norazlina M.S., 2014, INT J ENG TRENDS TEC, V9, P667, DOI [10.14445/22315381/IJETT-V9P326, DOI 10.14445/22315381/IJETT-V9P326]; Patsalas P, 2018, MAT SCI ENG R, V123, P1, DOI 10.1016/j.mser.2017.11.001; Pliatsikas N, 2014, SURF COAT TECH, V257, P63, DOI 10.1016/j.surfcoat.2014.08.013; Prieto-Novoa Gina Milena, 2019, Rev. acad. colomb. cienc. exact. fis. nat., V43, P366, DOI 10.18257/raccefyn.840; Raoufi D, 2015, EUR PHYS J-APPL PHYS, V70, DOI 10.1051/epjap/2015150004; Rauch JY, 2002, SURF COAT TECH, V157, P138, DOI 10.1016/S0257-8972(02)00146-9; Schuler A, 2001, J VAC SCI TECHNOL A, V19, P922, DOI 10.1116/1.1359532; Schumacher B., 2006, SPRINGER HDB MAT MEA, P431, DOI [10.1007/978-3-540-30300-8_9, DOI 10.1007/978-3-540-30300-8_9]; Sigmund P, 2012, THIN SOLID FILMS, V520, P6031, DOI 10.1016/j.tsf.2012.06.003; Singh M, 2018, J TAIBAH UNIV SCI, V12, P470, DOI 10.1080/16583655.2018.1473946; Tam PL, 2008, THIN SOLID FILMS, V516, P5725, DOI 10.1016/j.tsf.2007.07.127; TAUC J, 1966, PHYS STATUS SOLIDI, V15, P627, DOI 10.1002/pssb.19660150224; Thomas K, 2017, THIN SOLID FILMS, V642, P82, DOI 10.1016/j.tsf.2017.09.007; Uvarov V, 2007, MATER CHARACT, V58, P883, DOI 10.1016/j.matchar.2006.09.002; Valleti K, 2016, SOL ENERG MAT SOL C, V145, P447, DOI 10.1016/j.solmat.2015.11.012; Valleti K, 2014, SOL ENERG MAT SOL C, V121, P14, DOI 10.1016/j.solmat.2013.10.024; Vanegas HS, 2019, APPL SURF SCI, V481, P1249, DOI 10.1016/j.apsusc.2019.03.128; Vurgaftman I, 2001, J APPL PHYS, V89, P5815, DOI 10.1063/1.1368156; Witit-anun N., 2018, PHRANAKHON RAJABHAT, V13, P38; Xu YX, 2017, SURF COAT TECH, V324, P48, DOI 10.1016/j.surfcoat.2017.05.053; Yamamoto K, 2003, SURF COAT TECH, V174, P620, DOI 10.1016/S0257-8972(03)00580-2; Yang S, 2002, SURF ENG, V18, P391, DOI 10.1179/026708402225006295; Zhou M, 1999, THIN SOLID FILMS, V339, P203, DOI 10.1016/S0040-6090(98)01364-9</t>
  </si>
  <si>
    <t>10.3390/cryst12121831</t>
  </si>
  <si>
    <t>7D5IW</t>
  </si>
  <si>
    <t>WOS:000900525000001</t>
  </si>
  <si>
    <t>Canadas, AM; Rios, GB; Serna, RJ</t>
  </si>
  <si>
    <t>Moreno Canadas, Agustin; Bravo Rios, Gabriel; Robinson-Julian Serna</t>
  </si>
  <si>
    <t>Snake Graphs Arising from Groves with an Application in Coding Theory</t>
  </si>
  <si>
    <t>binary tree; coding theory; Brauer configuration algebra; Catalan combinatorics; path algebra; snake graph; string modules</t>
  </si>
  <si>
    <t>BRAUER CONFIGURATION ALGEBRAS; CLUSTER ALGEBRAS; CALCULUS</t>
  </si>
  <si>
    <t>Snake graphs are connected planar graphs consisting of a finite sequence of adjacent tiles (squares) T-1,T-2,...,T-n. In this case, for 1 &lt;= j &lt;= n - 1, two consecutive tiles T-j and Tj+1 share exactly one edge, either the edge at the east (west) of T-j (Tj+1) or the edge at the north (south) of T-j (Tj+1). Finding the number of perfect matchings associated with a given snake graph is one of the most remarkable problems regarding these graphs. It is worth noting that such a number of perfect matchings allows a bijection between the set of snake graphs and the positive continued fractions. Furthermore, perfect matchings of snake graphs have also been used to find closed formulas for cluster variables of some cluster algebras and solutions of the Markov equation, which is a well-known Diophantine equation. Recent results prove that snake graphs give rise to some string modules over some path algebras, connecting snake graph research with the theory of representation of algebras. This paper uses this interaction to define Brauer configuration algebras induced by schemes associated with some multisets called polygons. Such schemes are named Brauer configurations. In this work, polygons are given by some admissible words, which, after appropriate transformations, permit us to define sets of binary trees called groves. Admissible words generate codes whose energy values are given by snake graphs. Such energy values can be estimated by using Catalan numbers. We include in this paper Python routines to compute admissible words (i.e., codewords), energy values of the generated codes, Catalan numbers and dimensions of the obtained Brauer configuration algebras.</t>
  </si>
  <si>
    <t>[Moreno Canadas, Agustin; Bravo Rios, Gabriel] Univ Nacl Colombia, Dept Matemat, Edificio Yu Takeuchi 404,Kra 30 45-03, Bogota 111321, Colombia; [Robinson-Julian Serna] Univ Pedag &amp; Tecnol Colombia, Escuela Matemat &amp; Estadist, Ave Cent Norte 39-115, Tunja 150003, Colombia</t>
  </si>
  <si>
    <t>amorenoca@unal.edu.co; gbravor@unal.edu.co; robinson.serna@uptc.edu.co</t>
  </si>
  <si>
    <t>Bravo Rios, Gabriel/0000-0003-1386-6658; Moreno Canadas, Agustin/0000-0001-6812-5131; Serna, Robinson/0000-0001-5858-5011</t>
  </si>
  <si>
    <t>Seminar Alexander Zavadskij on Representation of Algebras and their Applications, Universidad Nacional de Colombia; Minciencias [891]</t>
  </si>
  <si>
    <t>Seminar Alexander Zavadskij on Representation of Algebras and their Applications, Universidad Nacional de Colombia; Minciencias</t>
  </si>
  <si>
    <t>Seminar Alexander Zavadskij on Representation of Algebras and their Applications, Universidad Nacional de Colombia. The third author was supported by Minciencias (Conv. 891).</t>
  </si>
  <si>
    <t>Andrews GE, 1998, THEORY PARTITIONS; Assem I., 2006, ELEMENTS REPRESENTAT, V1; Boyvalenkov PG, 2017, DESIGN CODE CRYPTOGR, V82, P411, DOI 10.1007/s10623-016-0286-4; Canadas AM, 2022, ELECTRON RES ARCH, V30, P3087, DOI 10.3934/era.2022157; Canakci I, 2021, ADV APPL MATH, V126, DOI 10.1016/j.aam.2020.102094; Canakci I, 2020, EUR J COMBIN, V86, DOI 10.1016/j.ejc.2020.103081; Canakci I, 2019, INT MATH RES NOTICES, V2019, P1145, DOI 10.1093/imrn/rnx157; Canakci I, 2018, COMPOS MATH, V154, P565, DOI 10.1112/S0010437X17007631; Canakci I, 2015, MATH Z, V281, P55, DOI 10.1007/s00209-015-1475-y; Canakci I, 2013, J ALGEBRA, V382, P240, DOI 10.1016/j.jalgebra.2013.02.018; Green EL, 2017, B SCI MATH, V141, P539, DOI 10.1016/j.bulsci.2017.06.001; Loday JL, 2002, J ALGEBRA, V258, P275, DOI 10.1016/S0021-8693(02)00510-0; Canadas AM, 2021, MATHEMATICS-BASEL, V9, DOI 10.3390/math9161937; Musiker G, 2011, ADV MATH, V227, P2241, DOI 10.1016/j.aim.2011.04.018; Propp J., 2020, INTEGERS, V20, P1; Schroll S., 2018, HOMOLOGICAL METHODS, P177, DOI DOI 10.1007/978-3-319-74585-5_6; Sierra CA, 2018, J ALGEBRA, V510, P289, DOI 10.1016/j.jalgebra.2018.06.002</t>
  </si>
  <si>
    <t>10.3390/computation10070124</t>
  </si>
  <si>
    <t>3H4IU</t>
  </si>
  <si>
    <t>WOS:000832001600001</t>
  </si>
  <si>
    <t>Soares, BR; Mateus, FDC; Asfora, VK; Guzzo, PL</t>
  </si>
  <si>
    <t>Soares, Bruno R.; Mateus, Fania D. Caicedo D.; Asfora, Viviane K.; Guzzo, Pedro L.</t>
  </si>
  <si>
    <t>Investigating the OSL components and the sensitivity changes in a natural quartz crystal showing an intense post-sensitization TL signal</t>
  </si>
  <si>
    <t>RADIATION EFFECTS AND DEFECTS IN SOLIDS</t>
  </si>
  <si>
    <t>Quartz grains; optically stimulated luminescence; thermoluminescence; sensitization; TL bleaching; deep traps</t>
  </si>
  <si>
    <t>OPTICALLY STIMULATED LUMINESCENCE; GAMMA-RADIATION; THERMOLUMINESCENCE; RELEVANCE; PEAK; 325-DEGREES-C; SEPARATION</t>
  </si>
  <si>
    <t>This study aims to investigate the optically stimulated luminescence of quartz grains exhibiting an intense thermoluminescent signal between 250 and 350 degrees C after sensitization with a high dose of gamma radiation and moderate heat treatments. Pellet discs produced with zeroed and sensitized grains were irradiated with test doses ranging from 0.5 to 40 Gy. After sensitization, the OSL signal of the fast component stimulated with blue light increased more than 1000 times. Annealing at 400 degrees C was adopted to erase the residual signal. The sensitivity changes were assessed after various TL and OSL readings. The annealing cycles were responsible for a significant increase in OSL and a 20% reduction in TL signals. The analysis of the residual TL indicated that the traps responsible for the main components of the sensitized peak (280 degrees C) are harder to bleach than those related to the so-called 110, 325, and 375 degrees C peaks. The sensitivity changes and the relationship between OSL and TL signals were explained in terms of a mechanism of competition involving active and deep electron traps. No correlation was observed between the fast OSL component and the 325 degrees C TL peak.</t>
  </si>
  <si>
    <t>[Soares, Bruno R.] Univ Fed Pernambuco, Grad Program Energet &amp; Nucl Technol, Recife, Brazil; [Mateus, Fania D. Caicedo D.] Univ Pedag &amp; Tecnol Colombia, Sede Cent Tunja, Boyaca, Colombia; [Asfora, Viviane K.] Univ Fed Pernambuco, Dept Nucl Energy, Recife, Brazil; [Guzzo, Pedro L.] Univ Fed Pernambuco, Dept Min Engn, Recife, Brazil</t>
  </si>
  <si>
    <t>Universidade Federal de Pernambuco; Universidad Pedagogica y Tecnologica de Colombia (UPTC); Universidade Federal de Pernambuco; Universidade Federal de Pernambuco</t>
  </si>
  <si>
    <t>Guzzo, PL (corresponding author), Univ Fed Pernambuco, Dept Min Engn, Recife, Brazil.</t>
  </si>
  <si>
    <t>pedro.guzzo@ufpe.br</t>
  </si>
  <si>
    <t>Fundacao de Amparo a Ciencia e Tecnologia do Estado de Pernambuco, Brazil - FACEPE [APQ-0648-3.09/14]; Conselho Nacional de Desenvolvimento Cientifico e Tecnologico, Brazil - CNPq [P: 306374/2018-8, P: 310635/2021-7]; FACEPE [IBPG-0231-3.09/18, IBPG-0908-3.09/16]</t>
  </si>
  <si>
    <t>Fundacao de Amparo a Ciencia e Tecnologia do Estado de Pernambuco, Brazil - FACEPE; Conselho Nacional de Desenvolvimento Cientifico e Tecnologico, Brazil - CNPq(Conselho Nacional de Desenvolvimento Cientifico e Tecnologico (CNPQ)); FACEPE(Fundacao de Amparo a Ciencia e Tecnologia do Estado de Pernambuco (FACEPE))</t>
  </si>
  <si>
    <t>This work was supported by Fundacao de Amparo a Ciencia e Tecnologia do Estado de Pernambuco, Brazil - FACEPE [grant number APQ-0648-3.09/14] and Conselho Nacional de Desenvolvimento Cientifico e Tecnologico, Brazil - CNPq (P: 306374/2018-8 and P: 310635/2021-7). BRS [grant number IBPG-0231-3.09/18] and FDCM [grant number IBPG-0908-3.09/16] are grateful to FACEPE for the scholarship provided.</t>
  </si>
  <si>
    <t>Aitken M.J., 1998, INTRO OPTICAL DATING, P267; AITKEN MJ, 1988, QUATERNARY SCI REV, V7, P387, DOI 10.1016/0277-3791(88)90034-0; Bailey RM, 2011, RADIAT MEAS, V46, P643, DOI 10.1016/j.radmeas.2011.06.005; Bailey RM, 2004, RADIAT MEAS, V38, P299, DOI 10.1016/j.radmeas.2003.09.005; Bailey RM, 1997, RADIAT MEAS, V27, P123, DOI 10.1016/S1350-4487(96)00157-6; Bailey RM, 2001, RADIAT MEAS, V33, P17, DOI 10.1016/S1350-4487(00)00100-1; BAILIFF IK, 1994, RADIAT MEAS, V23, P471, DOI 10.1016/1350-4487(94)90081-7; BOTTERJENSEN L, 1995, RADIAT MEAS, V24, P535, DOI 10.1016/1350-4487(95)00006-Z; Carvalho A.B., 2012, MAT RES, V15, P536; Chen G, 2001, RADIAT MEAS, V33, P59, DOI 10.1016/S1350-4487(00)00134-7; Chithambo ML, 2007, RADIAT MEAS, V42, P205, DOI 10.1016/j.radmeas.2006.07.005; Chithambo ML, 2009, RADIAT MEAS, V44, P453, DOI 10.1016/j.radmeas.2009.03.005; Core Team R., 2013, R LANG ENV STAT COMP; de Souza LBF, 2014, APPL RADIAT ISOTOPES, V94, P93, DOI 10.1016/j.apradiso.2014.07.017; de Souza LBF, 2010, J LUMIN, V130, P1551, DOI 10.1016/j.jlumin.2010.03.028; Fitzsimmons KE, 2011, GEOCHRONOMETRIA, V38, P199, DOI 10.2478/s13386-011-0030-9; FRANKLIN AD, 1995, J LUMIN, V63, P317, DOI 10.1016/0022-2313(94)00068-N; Geranmayeh S, 2021, NUCL INSTRUM METH B, V499, P89, DOI 10.1016/j.nimb.2021.05.007; Guralnik B, 2015, QUAT GEOCHRONOL, V25, P37, DOI 10.1016/j.quageo.2014.09.001; Guzzo PL, 2017, J LUMIN, V188, P118, DOI 10.1016/j.jlumin.2017.04.009; Guzzo PL, 2009, PHYS CHEM MINER, V36, P75, DOI 10.1007/s00269-008-0259-x; Gy P., 1992, DATA HANDLING SCI TE, V10, P56; Han ZY, 2000, RADIAT MEAS, V32, P227, DOI 10.1016/S1350-4487(99)00270-X; Itoh N, 2002, J APPL PHYS, V92, P5036, DOI 10.1063/1.1510951; Jain M, 2008, RADIAT MEAS, V43, P709, DOI 10.1016/j.radmeas.2008.01.005; Jain M, 2003, RADIAT MEAS, V37, P441, DOI 10.1016/S1350-4487(03)00052-0; Jun Peng, 2016, SoftwareX, V5, P112, DOI 10.1016/j.softx.2016.06.001; Kaya-Keles S, 2019, NUCL INSTRUM METH B, V458, P44, DOI 10.1016/j.nimb.2019.07.029; KAYLOR RM, 1995, J LUMIN, V65, P1, DOI 10.1016/0022-2313(95)00048-U; Khoury HJ, 2007, RADIAT EFF DEFECT S, V162, P101, DOI 10.1080/10420150601035490; Kitis G, 2010, J LUMIN, V130, P298, DOI 10.1016/j.jlumin.2009.09.006; Kreutzer S., 2012, ANCIENT TL, V30, P1, DOI DOI 10.1007/978-94-007-6326-5_121-2; Kreutzer S., 2017, LUMINESCENCE COMPREH; Martini M, 2009, RADIAT MEAS, V44, P458, DOI 10.1016/j.radmeas.2009.04.001; Mateus FDC, 2021, NUCL INSTRUM METH B, V486, P37, DOI 10.1016/j.nimb.2020.11.001; McKeever SWS, 1996, RADIAT PROT DOSIM, V65, P49, DOI 10.1093/oxfordjournals.rpd.a031680; Mineli TD, 2021, RADIAT MEAS, V144, DOI 10.1016/j.radmeas.2021.106583; Moska P, 2006, RADIAT MEAS, V41, P878, DOI 10.1016/j.radmeas.2006.06.005; Oniya EO, 2012, J LUMIN, V132, P1720, DOI 10.1016/j.jlumin.2012.02.005; Oniya EO, 2017, NUCL INSTRUM METH B, V400, P1, DOI 10.1016/j.nimb.2017.03.156; Pietsch TJ, 2008, QUAT GEOCHRONOL, V3, P365, DOI 10.1016/j.quageo.2007.12.005; Polymeris GS, 2009, RADIAT MEAS, V44, P23, DOI 10.1016/j.radmeas.2008.10.007; Sawakuchi AO, 2011, QUAT GEOCHRONOL, V6, P261, DOI 10.1016/j.quageo.2010.11.002; Sawakuchi AO, 2020, METHOD PROTOCOL, V3, DOI 10.3390/mps3010006; Schilles T, 2001, J PHYS D APPL PHYS, V34, P722, DOI 10.1088/0022-3727/34/5/310; Simkins LM, 2016, QUAT GEOCHRONOL, V36, P161, DOI 10.1016/j.quageo.2016.09.002; Singarayer JS, 2003, RADIAT MEAS, V37, P451, DOI 10.1016/S1350-4487(03)00062-3; SMITH BW, 1994, RADIAT MEAS, V23, P329, DOI 10.1016/1350-4487(94)90060-4; Soares B.R., 2020, THESIS FEDERAL U PER; Soares B.R., 2022, BRAZ J RAD SCI, V10-02A, P1; SPOONER NA, 1994, RADIAT MEAS, V23, P593, DOI 10.1016/1350-4487(94)90105-8; Timar-Gabor A, 2017, RADIAT MEAS, V106, P464, DOI 10.1016/j.radmeas.2017.01.009; Tsukamoto S, 2011, QUATERN INT, V234, P182, DOI 10.1016/j.quaint.2010.09.003; Wallinga J, 2008, RADIAT MEAS, V43, P742, DOI 10.1016/j.radmeas.2008.01.013; Wintle AG, 2017, RADIAT MEAS, V98, P10, DOI 10.1016/j.radmeas.2017.02.003; Wintle AG, 2006, RADIAT MEAS, V41, P369, DOI 10.1016/j.radmeas.2005.11.001; Wintle AG, 1997, RADIAT MEAS, V27, P611, DOI 10.1016/S1350-4487(97)00018-8; Wintle AG, 1999, RADIAT MEAS, V30, P107, DOI 10.1016/S1350-4487(98)00096-1; Wintle AG, 2000, RADIAT MEAS, V32, P387, DOI 10.1016/S1350-4487(00)00057-3; Yukihara E.G., 2004, RADIAT MEAS, V38, P17; ZIMMERMAN J, 1971, J PHYS PART C SOLID, V4, P3265, DOI 10.1088/0022-3719/4/18/032</t>
  </si>
  <si>
    <t>1042-0150</t>
  </si>
  <si>
    <t>1029-4953</t>
  </si>
  <si>
    <t>RADIAT EFF DEFECT S</t>
  </si>
  <si>
    <t>Radiat. Eff. Defects Solids</t>
  </si>
  <si>
    <t>2023 MAY 11</t>
  </si>
  <si>
    <t>10.1080/10420150.2023.2211196</t>
  </si>
  <si>
    <t>MAY 2023</t>
  </si>
  <si>
    <t>Nuclear Science &amp; Technology; Physics, Fluids &amp; Plasmas; Physics, Condensed Matter</t>
  </si>
  <si>
    <t>Nuclear Science &amp; Technology; Physics</t>
  </si>
  <si>
    <t>G0FB7</t>
  </si>
  <si>
    <t>WOS:000986003000001</t>
  </si>
  <si>
    <t>Pastrana-Casteblanco, JA; Gonzalez-Sanabria, JS; Campechano-Escalona, EJ; Suarez-Baron, MJ; Amezquita-Becerra, G</t>
  </si>
  <si>
    <t>Pastrana-Casteblanco, Jimmy-Alexander; Gonzalez-Sanabria, Juan-Sebastian; Campechano-Escalona, Eduardo-Jose; Suarez-Baron, Marco-Javier; Amezquita-Becerra, German</t>
  </si>
  <si>
    <t>Analysis of Institutional Repository Software for Knowledge Management in Universities</t>
  </si>
  <si>
    <t>Key Institutional Repositories; information management; institutional productivity; open access</t>
  </si>
  <si>
    <t>Introduction: Institutional Repositories (IR) as an element of great relevance in the processes of organization, dissemination, research and preservation of information. These processes are carried out freely and free of charge following the premises of the Open Access (OA) movement, which allow applying elements of interoperability, access, and long-term preservation of universal access to information.Objective: The research has a descriptive scope and will be developed through the use of the analytical and comparative method. In the analytical phase, it is intended to carry out an exhaustive collection and review of information, which allows characterizing the use of the software, this information will access to delimit the use of the different DLMS worldwide.Method: This study, framed in a descriptive investigation, reveals the main characteristics of usability, use of metadata and interoperability of digital library management systems.Results: Regarding the benefits that can be determined with the implementation of one of the two DLMS evaluated, they are, mainly, to improve the experience and satisfaction of visitors to the IR and to achieve greater communication and feedback with the user, this by making use of communication channels offered by the IR.Conclusions: Any organization or institution can use the inputs and data obtained from this research as a reference guide to determine which system is best to create and display their digital collections. The choice generally depends on the type/format of the material, the distribution of the material, the software platform and the time frame for the establishment of the digital library.</t>
  </si>
  <si>
    <t>[Pastrana-Casteblanco, Jimmy-Alexander; Gonzalez-Sanabria, Juan-Sebastian; Amezquita-Becerra, German] Univ Pedag &amp; Tecnol Colombia, Tunja, Colombia; [Campechano-Escalona, Eduardo-Jose] Univ Cesar Vallejo, Trujillo, Peru; [Suarez-Baron, Marco-Javier] Univ Pedag &amp; Tecnol Colombia, Sogamoso, Colombia</t>
  </si>
  <si>
    <t>Universidad Pedagogica y Tecnologica de Colombia (UPTC); Universidad Cesar Vallejo; Universidad Pedagogica y Tecnologica de Colombia (UPTC)</t>
  </si>
  <si>
    <t>Pastrana-Casteblanco, JA (corresponding author), Univ Pedag &amp; Tecnol Colombia, Tunja, Colombia.</t>
  </si>
  <si>
    <t>jimmy.pastrana@uptc.edu.co; juansebastian.gonzalez@uptc.edu.co; ecampechano@ucv.edu.pe; marco.suarez@uptc.edu.co; german.amezquita01@uptc.edu.co</t>
  </si>
  <si>
    <t>Abadal E, 2006, RUSC-UNIV KNOWL SOC, V3; American Library Association, AW PUBL C ALA MEMB A; Andro M, 2012, LIBR COLLECT ACQUIS, V36, P79, DOI 10.1016/j.lcats.2012.05.002; Atoum I, 2020, J KING SAUD UNIV-COM, V32, P113, DOI 10.1016/j.jksuci.2018.04.012; Bankier J.B., 2014, I REPOSITORY SOFTWAR; coar-repositories, MET VOC; Cruz B., GUIDE EVALUATION I R; de Farias RAN., 2016, A B ARCH LIB PORTUGA, P3; Mayorga R., 1999, REV IBEROAM EDUC, V21, P25, DOI [10.35362/rie2101032, DOI 10.35362/RIE2101032]; OpenDOAR, 2021, OPENDOAR STAT V 2 SH; opensource, LIC STAND; Payne AA, 2010, REV ECON STAT, V92, P207, DOI 10.1162/rest.2009.10157; rae, LIB DEF SPAN LANG DI; ROAR, 2021, BROWS YEAR; ROAR, 2021, BROWS REP SOFTW; Tramboo S, 2012, STUDY OPEN SOURCE DI</t>
  </si>
  <si>
    <t>10.17981/ingecuc.18.2.2022.09</t>
  </si>
  <si>
    <t>WOS:000917298600011</t>
  </si>
  <si>
    <t>Canadas, AM; Serna, RJ; Gaviria, IDM</t>
  </si>
  <si>
    <t>Canadas, Agustin Moreno; Serna, Robinson -Julian; Gaviria, Isaias David Marin</t>
  </si>
  <si>
    <t>Zavadskij modules over cluster-tilted algebras of type A</t>
  </si>
  <si>
    <t>ELECTRONIC RESEARCH ARCHIVE</t>
  </si>
  <si>
    <t>algorithm of differentiation; categorification; cluster-tilted algebra of type A; integer sequence; OEIS; quiver representation; uniserial module; Zavadskij module</t>
  </si>
  <si>
    <t>EQUIVALENCE CLASSIFICATION; DIFFERENTIATION; QUIVERS</t>
  </si>
  <si>
    <t>Zavadskij modules are uniserial tame modules. They arose from interactions between the poset representation theory and the classification of general orders. The main problem is to characterize Zavadskij modules over a finite-dimensional algebra A. In this setting, we prove that the indecomposable uniserial A-modules with a mast of multiplicity one in each vertex are Zavadskij modules. Since the Zavadskij property carries over to direct summands, but it is not invariant under the formation of direct sums, we give a criterion to determine when the direct sum of indecomposable Zavadskij modules is again a Zavadskij module. In addition, we use the triangulations of the n + 3-gon associated with the cluster-tilted algebra of type A(n) to give a formula for the number of indecomposable Zavadskij modules over any cluster-tilted algebra of type A(n). In this case, the formula gives the dimension of the cluster-tilted algebra. As an application, we discuss some integer sequences in the OEIS (The On-Line Encyclopedia of Integer Sequences) that allow us to enumerate indecomposable Zavadskij modules.</t>
  </si>
  <si>
    <t>[Canadas, Agustin Moreno] Univ Nacl Colombia, Dept Matemat, Edificio Yu Takeuchi 404,Kra 30 45-03, Bogota 11001000, Colombia; [Serna, Robinson -Julian; Gaviria, Isaias David Marin] Univ Pedag &amp; Tecnol Colombia, Escuela Matemat &amp; Estadist, Ave Cent Norte 39-115, Bogota 150003, Colombia</t>
  </si>
  <si>
    <t>Gaviria, IDM (corresponding author), Univ Pedag &amp; Tecnol Colombia, Escuela Matemat &amp; Estadist, Ave Cent Norte 39-115, Bogota 150003, Colombia.</t>
  </si>
  <si>
    <t>saias.marin@uptc.edu.co</t>
  </si>
  <si>
    <t>Seminar Alexander Zavadskij on Representation of Algebras and Its Applications at Universidad Nacional de Colombia; Minciencias-Colombia Convocatoria fortalecimiento de vocaciones y formacion en CTeI para la reactivacion economica [891]</t>
  </si>
  <si>
    <t>Seminar Alexander Zavadskij on Representation of Algebras and Its Applications at Universidad Nacional de Colombia; Minciencias-Colombia Convocatoria fortalecimiento de vocaciones y formacion en CTeI para la reactivacion economica</t>
  </si>
  <si>
    <t>The first author has been supported by the Seminar Alexander Zavadskij on Representation of Algebras and Its Applications at Universidad Nacional de Colombia. The second and third author have been supported by Minciencias-Colombia Convocatoria fortalecimiento de vocaciones y formacion en CTeI para la reactivacion economica en el marco de la postpandemia 2020. No 891.</t>
  </si>
  <si>
    <t>[Anonymous], 1977, MATRIX PROBL; Arnold D, 2012, ABELIAN GROUPS REPRE; Assem I., 2006, LONDON MATH SOC STUD, V65, DOI [10.1017/CBO9780511614309, DOI 10.1017/CBO9780511614309]; Assem I., 2018, PAPERS BASED 6 MINI, DOI [10.1007/978-3-319-74585-5, DOI 10.1007/978-3-319-74585-5]; Bastian J, 2014, J ALGEBRA, V410, P277, DOI 10.1016/j.jalgebra.2014.03.034; Boldt A., 1996, THESIS U CALIFORNIA; Boldt A, 2008, J ALGEBRA, V319, P1825, DOI 10.1016/j.jalgebra.2007.11.026; Buan AB, 2008, J ALGEBRA, V319, P2723, DOI 10.1016/j.jalgebra.2008.01.007; Buan AB, 2006, J ALGEBRA, V306, P412, DOI 10.1016/j.jalgebra.2006.08.005; Buan AB, 2006, ADV MATH, V204, P572, DOI 10.1016/j.aim.2005.06.003; Buan AB, 2009, ELECTRON J COMB, V16; Caldero P, 2006, T AM MATH SOC, V358, P1347, DOI 10.1090/S0002-9947-05-03753-0; Canadas A.M., 2017, FJMS, V102, P1677, DOI [10.17654/MS102081677, DOI 10.17654/MS102081677]; Fahr P, 2008, J INTEGER SEQ, V11; Fahr P, 2012, J INTEGER SEQ, V15; Huisgen-Zimmermann B, 1998, J PURE APPL ALGEBRA, V127, P39, DOI 10.1016/S0022-4049(96)00184-3; Canadas AM, 2016, JP J ALGEBR NUMBER T, V38, P339, DOI 10.17654/NT038040339; Nowak S, 2002, COMMUN ALGEBRA, V30, P455, DOI 10.1081/AGB-120006503; Rump W, 2000, J PURE APPL ALGEBRA, V153, P171, DOI 10.1016/S0022-4049(99)00085-7; Rump W, 2004, ALGEBR REPRESENT TH, V7, P395, DOI 10.1023/B:ALGE.0000042182.98997.7c; Schiffler R, 2020, J PURE APPL ALGEBRA, V224, DOI 10.1016/j.jpaa.2020.106436; Simson D., 1992, ALGEBRA LOGIC APPL; Sloane N. J. A., 1964, ON LINE ENCY INTEGER; Torkildsen HA, 2008, INT ELECTRON J ALGEB, V4, P149; ZAVADSKII AG, 1977, MATH USSR SB+, V32, P273, DOI 10.1070/SM1977v032n03ABEH002384</t>
  </si>
  <si>
    <t>AMER INST MATHEMATICAL SCIENCES-AIMS</t>
  </si>
  <si>
    <t>SPRINGFIELD</t>
  </si>
  <si>
    <t>PO BOX 2604, SPRINGFIELD, MO 65801-2604, UNITED STATES</t>
  </si>
  <si>
    <t>2688-1594</t>
  </si>
  <si>
    <t>ELECTRON RES ARCH</t>
  </si>
  <si>
    <t>Electron. Res. Arch.</t>
  </si>
  <si>
    <t>10.3934/era.2022175</t>
  </si>
  <si>
    <t>3H7QA</t>
  </si>
  <si>
    <t>WOS:000832225700001</t>
  </si>
  <si>
    <t>Palacio, CA; Rojas, KM; Triana, YP</t>
  </si>
  <si>
    <t>Palacio, Carlos A.; Medina Rojas, Kelly; Pineda Triana, Yaneth</t>
  </si>
  <si>
    <t>Analysis of diesel engine oils from 2.5L engine pick-up trucks by means of X-ray fluorescence</t>
  </si>
  <si>
    <t>Oil industry; X-ray fluorescence; maintenance; chemical analysis; motor vehicles</t>
  </si>
  <si>
    <t>SULFUR; FUEL</t>
  </si>
  <si>
    <t>Engine oil is one of the key elements to protect and to increase the life of the lubricated engine parts. However, it gets contaminated by external particles either in filtration or during combustion, which produces deterioration in some of the engine parts which are being lubricated. In that sense, delays and very expensive repairs are generated at the maintenance workshops due to the high contamination in oils and to the late detection of the deteriorated parts. This work presents an analysis of used oils, extracted from hot and cold engines of 2.5-liter engine pick-up trucks, by using the two methods of the X-ray fluorescence technique (XRF): standard-less and calibrated, in order to determine the elements present and to establish the engine parts that wear out more easily and thus, to help with predictive maintenance of the trucks. The results are also useful for comparison purposes and to evaluate the effectiveness of the XRF technique in analyzing these types of samples.</t>
  </si>
  <si>
    <t>[Palacio, Carlos A.] Univ Antonio Narino, Grp GIFAM, Fac Ciencias, Carrera 7 21-84, Tunja 150002, Colombia; [Medina Rojas, Kelly; Pineda Triana, Yaneth] Univ Pedag &amp; Tecnol Colombia, Grp Integridad &amp; Evaluac Mat GIEM, Escuela Met, Ave Cent Norte 39-115, Tunja 150003, Colombia</t>
  </si>
  <si>
    <t>Universidad Antonio Narino; Universidad Pedagogica y Tecnologica de Colombia (UPTC)</t>
  </si>
  <si>
    <t>Palacio, CA (corresponding author), Univ Antonio Narino, Grp GIFAM, Fac Ciencias, Carrera 7 21-84, Tunja 150002, Colombia.</t>
  </si>
  <si>
    <t>carlospalacio@uan.edu.co</t>
  </si>
  <si>
    <t>Palacio-Gómez, Carlos Andrés/B-1544-2016</t>
  </si>
  <si>
    <t>Palacio-Gómez, Carlos Andrés/0000-0003-0842-5567; Pineda Triana, Yaneth/0000-0002-5561-9412</t>
  </si>
  <si>
    <t xml:space="preserve"> [PI/UAN-2021-695GFM]</t>
  </si>
  <si>
    <t>This work was supported by grant PI/UAN-2021-695GFM.</t>
  </si>
  <si>
    <t>Ahmed N. S., 2011, TRIBOLOGY LUBRICANTS; [Anonymous], 2017, 590 DIN EN; Automotive Fuels, 2017, 2282012A12017 BS EN; Barnes AM, 2001, TRIBOL INT, V34, P389, DOI 10.1016/S0301-679X(01)00028-7; Bonilla L. G. Viteri, 2011, ANALISIS DEGRADACION; Evans J., 1998, HIGH SILICON ENGINE; Ito E, 2006, CATAL TODAY, V116, P446, DOI 10.1016/j.cattod.2006.06.040; Mayer A, 2006, 4 OIL ANAL TESTS RUN; Miskolczi N, 2006, TALANTA, V69, P776, DOI 10.1016/j.talanta.2005.11.006; Navarrete J. Felix, 2009, ANALISIS ACEITE MOTO; OConnor S. P., 1994, LUBR SCI, V6, P297, DOI [10.1002/ls.3010060402, DOI 10.1002/LS.3010060402]; Romero A. Valderrama, 2001, HIDRAULICA TERMOFLUI, V2, P24; Sagi R., 2008, PETROLEUM COAL, V50, P1; Saldivia F., 2013, INNOVATION ENG TECHN; Song CS, 2003, CATAL TODAY, V86, P211, DOI 10.1016/S0920-5861(03)00412-7; Spikes H, 2008, LUBR SCI, V20, P103, DOI 10.1002/ls.57; Spurlock M., 2008, EVALUATING SOURCE SI; TORMOS B, 2002, THESIS U POLITECNICA; Vilhunen JK, 1997, SPECTROCHIM ACTA B, V52, P953, DOI 10.1016/S0584-8547(96)01609-6; Zararsiz A, 1996, NUCL INSTRUM METH B, V108, P385, DOI 10.1016/0168-583X(95)01156-0</t>
  </si>
  <si>
    <t>JUL-SEP</t>
  </si>
  <si>
    <t>10.17533/udea.redin.20210739</t>
  </si>
  <si>
    <t>1N5OJ</t>
  </si>
  <si>
    <t>Green Published, Green Submitted</t>
  </si>
  <si>
    <t>WOS:000800704700002</t>
  </si>
  <si>
    <t>Moncada-Villa, E; Cuevas, JC</t>
  </si>
  <si>
    <t>Moncada-Villa, E.; Cuevas, J. C.</t>
  </si>
  <si>
    <t>Thermal discrete dipole approximation for near-field radiative heat transfer in many-body systems with arbitrary nonreciprocal bodies</t>
  </si>
  <si>
    <t>PHYSICAL REVIEW B</t>
  </si>
  <si>
    <t>SCATTERING</t>
  </si>
  <si>
    <t>The theoretical study of many-body effects in the context of near-field radiative heat transfer (NFRHT) has already led to the prediction of a plethora of thermal radiation phenomena. Special attention has been paid to nonreciprocal systems in which the lack of the Lorentz reciprocity has been shown to give rise to unique physical effects. However, most of the theoretical work in this regard has been carried out with the help of approaches that consider either pointlike particles or highly symmetric bodies (such as spheres), which are not easy to realize and explore experimentally. In this work we develop a many-body approach based on the thermal discrete dipole approximation (TDDA) that is able to describe the NFRHT between nonreciprocal objects of arbitrary size and shape. We illustrate the potential and the relevance of this approach with the analysis of two related phenomena, namely the existence of persistent thermal currents and the photon thermal Hall effect, in a system with several magneto-optical bodies. Our many-body TDDA approach paves the way for closing the gap between experiment and theory that is hindering the progress of the topic of NFRHT in many-body systems.</t>
  </si>
  <si>
    <t>[Moncada-Villa, E.] Univ Pedag &amp; Tecnol Colombia, Escuela Fis, Ave Cent Norte 39-115, Tunja, Colombia; [Cuevas, J. C.] Univ Autonoma Madrid, Dept Fis Teor Mat Condensada, E-28049 Madrid, Spain; [Cuevas, J. C.] Univ Autonoma Madrid, Condensed Matter Phys Ctr IFIMAC, E-28049 Madrid, Spain</t>
  </si>
  <si>
    <t>Universidad Pedagogica y Tecnologica de Colombia (UPTC); Autonomous University of Madrid; Autonomous University of Madrid</t>
  </si>
  <si>
    <t>Moncada-Villa, E (corresponding author), Univ Pedag &amp; Tecnol Colombia, Escuela Fis, Ave Cent Norte 39-115, Tunja, Colombia.</t>
  </si>
  <si>
    <t>Cuevas, Juan Carlos/B-7813-2012</t>
  </si>
  <si>
    <t>Cuevas, Juan Carlos/0000-0001-7421-0682; Moncada-Villa, Edwin/0000-0002-2095-7008</t>
  </si>
  <si>
    <t>Spanish Ministry of Science and Innovation;  [PID2020-114880GB-I00]</t>
  </si>
  <si>
    <t xml:space="preserve">Spanish Ministry of Science and Innovation(Ministry of Science and Innovation, Spain (MICINN)Spanish Government); </t>
  </si>
  <si>
    <t>ACKNOWLEDGMENT J.C.C. acknowledges funding from the Spanish Ministry of Science and Innovation (Grant No. PID2020-114880GB-I00) .</t>
  </si>
  <si>
    <t>Ekeroth RMA, 2018, ACS PHOTONICS, V5, P705, DOI 10.1021/acsphotonics.7b01223; Ben-Abdallah P, 2016, PHYS REV LETT, V116, DOI 10.1103/PhysRevLett.116.084301; Ben-Abdallah P, 2017, Z NATURFORSCH A, V72, P151, DOI 10.1515/zna-2016-0358; Bernardi MP, 2016, NAT COMMUN, V7, DOI 10.1038/ncomms12900; Biehs SA, 2021, REV MOD PHYS, V93, DOI 10.1103/RevModPhys.93.025009; Cuevas JC, 2018, ACS PHOTONICS, V5, P3896, DOI 10.1021/acsphotonics.8b01031; Cui LJ, 2017, NAT COMMUN, V8, DOI 10.1038/ncomms14479; DeSutter J, 2019, NAT NANOTECHNOL, V14, P751, DOI 10.1038/s41565-019-0483-1; DRAINE BT, 1994, J OPT SOC AM A, V11, P1491, DOI 10.1364/JOSAA.11.001491; DRAINE BT, 1988, ASTROPHYS J, V333, P848, DOI 10.1086/166795; Edalatpour S, 2015, PHYS REV E, V91, DOI 10.1103/PhysRevE.91.063307; Edalatpour S, 2014, J QUANT SPECTROSC RA, V133, P364, DOI 10.1016/j.jqsrt.2013.08.021; Ekeroth RMA, 2017, PHYS REV B, V95, DOI 10.1103/PhysRevB.95.235428; Fiorino A, 2018, NANO LETT, V18, P3711, DOI 10.1021/acs.nanolett.8b00846; Ghashami M, 2018, PHYS REV LETT, V120, DOI 10.1103/PhysRevLett.120.175901; Guha B, 2012, NANO LETT, V12, P4546, DOI 10.1021/nl301708e; Guo C, 2019, PHYS REV B, V100, DOI 10.1103/PhysRevB.100.205416; Hu L, 2008, APPL PHYS LETT, V92, DOI 10.1063/1.2905286; Il'inskii YA, 1994, ELECTROMAGNETIC RESP; Joulain K, 2005, SURF SCI REP, V57, P59, DOI 10.1016/j.surfrep.2004.12.002; Kim K, 2015, NATURE, V528, P387, DOI 10.1038/nature16070; Kittel A, 2005, PHYS REV LETT, V95, DOI 10.1103/PhysRevLett.95.224301; Kloppstech K, 2017, NAT COMMUN, V8, DOI 10.1038/ncomms14475; Kralik T, 2012, PHYS REV LETT, V109, DOI 10.1103/PhysRevLett.109.224302; LAKHTAKIA A, 1992, ASTROPHYS J, V394, P494, DOI 10.1086/171600; Landau L., 1980, COURSE THEORETICAL P, V9; Latella I, 2017, PHYS REV LETT, V118, DOI 10.1103/PhysRevLett.118.173902; Lim M, 2015, PHYS REV B, V91, DOI 10.1103/PhysRevB.91.195136; Messina R, 2013, PHYS REV B, V88, DOI 10.1103/PhysRevB.88.104307; Moncada-Villa E, 2021, PHYS REV B, V103, DOI 10.1103/PhysRevB.103.075432; Moncada-Villa E, 2020, PHYS REV B, V101, DOI 10.1103/PhysRevB.101.085411; Moncada-Villa E, 2015, PHYS REV B, V92, DOI 10.1103/PhysRevB.92.125418; Narayanaswamy A, 2008, PHYS REV B, V78, DOI 10.1103/PhysRevB.78.115303; Novotny L., 2006, PRINCIPLES NANOOPTIC; Ott A, 2020, PHYS REV B, V101, DOI 10.1103/PhysRevB.101.241411; Ott A, 2020, PHYS REV B, V101, DOI 10.1103/PhysRevB.101.155428; Ott A, 2019, J PHOTON ENERGY, V9, DOI 10.1117/1.JPE.9.032711; Ottens RS, 2011, PHYS REV LETT, V107, DOI 10.1103/PhysRevLett.107.014301; PALIK ED, 1976, PHYS REV B, V13, P2497, DOI 10.1103/PhysRevB.13.2497; POLDER D, 1971, PHYS REV B, V4, P3303, DOI 10.1103/PhysRevB.4.3303; PURCELL EM, 1973, ASTROPHYS J, V186, P705, DOI 10.1086/152538; Rousseau E, 2009, NAT PHOTONICS, V3, P514, DOI 10.1038/NPHOTON.2009.144; RYTOV S. M., 1989, PRINCIPLES STAT RADI; Shen S, 2012, APPL PHYS LETT, V100, DOI 10.1063/1.4723713; Shen S, 2009, NANO LETT, V9, P2909, DOI 10.1021/nl901208v; Shi JW, 2013, APPL PHYS LETT, V102, DOI 10.1063/1.4804631; Song B, 2016, NAT NANOTECHNOL, V11, P509, DOI [10.1038/NNANO.2016.17, 10.1038/nnano.2016.17]; Song B, 2015, AIP ADV, V5, DOI 10.1063/1.4919048; Song B, 2015, NAT NANOTECHNOL, V10, P253, DOI [10.1038/NNANO.2015.6, 10.1038/nnano.2015.6]; St-Gelais R, 2016, NAT NANOTECHNOL, V11, P515, DOI [10.1038/nnano.2016.20, 10.1038/NNANO.2016.20]; St-Gelais R, 2014, NANO LETT, V14, P6971, DOI 10.1021/nl503236k; Tervo E, 2019, PHYS REV B, V100, DOI 10.1103/PhysRevB.100.205422; van Zwol PJ, 2012, PHYS REV LETT, V109, DOI 10.1103/PhysRevLett.109.264301; van Zwol PJ, 2012, PHYS REV LETT, V108, DOI 10.1103/PhysRevLett.108.234301; Worbes L, 2013, PHYS REV LETT, V110, DOI 10.1103/PhysRevLett.110.134302; YAGHJIAN AD, 1980, P IEEE, V68, P248, DOI 10.1109/PROC.1980.11620; Yurkin MA, 2007, J QUANT SPECTROSC RA, V106, P558, DOI 10.1016/j.jqsrt.2007.01.034; Zhu LX, 2018, PHYS REV B, V97, DOI 10.1103/PhysRevB.97.094302; Zhu LX, 2016, PHYS REV LETT, V117, DOI 10.1103/PhysRevLett.117.134303</t>
  </si>
  <si>
    <t>2469-9950</t>
  </si>
  <si>
    <t>2469-9969</t>
  </si>
  <si>
    <t>PHYS REV B</t>
  </si>
  <si>
    <t>Phys. Rev. B</t>
  </si>
  <si>
    <t>DEC 27</t>
  </si>
  <si>
    <t>10.1103/PhysRevB.106.235430</t>
  </si>
  <si>
    <t>Materials Science, Multidisciplinary; Physics, Applied; Physics, Condensed Matter</t>
  </si>
  <si>
    <t>Materials Science; Physics</t>
  </si>
  <si>
    <t>7M8TB</t>
  </si>
  <si>
    <t>WOS:000906922700002</t>
  </si>
  <si>
    <t>Viasus, JFJ</t>
  </si>
  <si>
    <t>Jimenez Viasus, John Fredy</t>
  </si>
  <si>
    <t>Structural ecological connectivity in the municipality of Valparaiso (Caqueta, Colombia): A proposal for linkages and connectivity nuclei at a semi-detailed scale</t>
  </si>
  <si>
    <t>structural ecological connectivity; ecological linkages; ecosystem services</t>
  </si>
  <si>
    <t>Ecosystem services are the benefits that humanity receives from ecosystems: from the provision of food, water, wood and fiber to water and climate regulation, among many others. In order to maintain this environmental supply, it is necessary to know the location, state and degree of connection of the natural areas present in a territory. Taking into account the interpretation of land cover at a scale of 1:25,000, the delimitation of sub-basins within the municipality, the consultation of secondary information, the use of the Linkage Mapper tool and a subsequent verification with satellite images of the year 2020, a set of linkages and structural connectivity cores are proposed for the natural areas present in the municipality of Valparaiso (Caqueta) in Colombia, in order to provide decision-makers with inputs for land management in order to maintain the quality and supply of ecosystem services. As a result, 48 connectivity cores were obtained corresponding to inland and floodable forests and about 7% of the municipal area in linkages that are mainly represented by remaining gallery forests in the study area.</t>
  </si>
  <si>
    <t>[Jimenez Viasus, John Fredy] Univ Nacl Colombia, Bogota, Colombia; [Jimenez Viasus, John Fredy] Univ Pedag &amp; Tecnol Colombia, Geog, Bogota, Colombia</t>
  </si>
  <si>
    <t>Viasus, JFJ (corresponding author), Univ Nacl Colombia, Bogota, Colombia.;Viasus, JFJ (corresponding author), Univ Pedag &amp; Tecnol Colombia, Geog, Bogota, Colombia.</t>
  </si>
  <si>
    <t>jfjimenezv@unal.edu.co</t>
  </si>
  <si>
    <t>Andrade G., 2018, TRANS SOC HAC SOST G; Calabrese JM, 2004, FRONT ECOL ENVIRON, V2, P529, DOI 10.2307/3868383; Ciontescu N., 2019, ANALISIS CONECTIVIDA; COLORADO ZULUAGA Gabriel Jaime, 2017, Acta biol.Colomb., V22, P379, DOI 10.15446/abc.v22n3.63013; Concejo Municipal para la Gestion del Riesgo de Desastres, 2018, PLAN MUN GEST RIEG D; Corporacion de Desarrollo del Sur de la Amazonia (Corpoamazonia), 2020, PROP PLAN ACC I 2020; Correa Ayram Camilo Andrés, 2014, Rev. geogr. Norte Gd., P7; Departamento de Caqueta municipio de Valparaiso, 2021, REV AJ ESQ ORD TERR; Escobar MM, 2013, ECOSYST SERV, V6, P46, DOI 10.1016/j.ecoser.2013.04.004; Etter A., 2017, ECOSISTEMAS COLOMBIA; Food And Agriculture Organization (FAO), 2020, SERVICIOS ECOSISTEMI; Garcia J., 2013, PRIMATES COLOMBIANOS, P259; IDEAM (Instituto de Hidrologia Meteorologia y Estudios Ambientales), 2020, RES MON DEF 2019; Instituto de Hidrologia Meteorologia y Estudios Ambientales (IDEAM), 2003, ESTR EC PRINC COL 1; Instituto de Hidrologia Meteorologia y Estudios Ambientales (IDEAM), 2010, LEYENDA NACL COBERTU; Instituto de Hidrologia Meteorologia y Estudios Ambientales (IDEAM), 2011, AP IDEAM DEF APL EST; Instituto de Investigacion de Recursos Biologicos Alexander von Humboldt (IAvH), 2020, ESTR EC PRINC ORD; Instituto Geografico Agustin Codazzi (IGAC), 2020, EL MAP COB TIERR ESC; Instituto Geografico Agustin Codazzi (IGAC), 2018, SIST CLAS GEOM APL L; INSTITUTO GEOGRAFICO AGUSTIN CODAZZI - IGAC, 2010, CAQ CAR GEOGR; McRae B, 2020, CIRCUITESCAPE; Millennium Ecosystem Assessment (MA), 2005, EC HUM WELL BEING FR; Parques Nacionales Naturales de Colombia, 2021, RES NAT SOC CIV; Pascual Hortal L., 2006, METODOLOGIA INCORPOR; Plataforma Intergubernamental Cientifico-normativa sobre Diversidad Biologica y Servicios de los Ecosistemas (IPBES), 2019, SUMMARY POLICYMAKERS; Taylor PD, 2006, CONNECTIVITY CONSERV, P29, DOI DOI 10.1017/CBO9780511754821.003; Universidad Pedagogica y Tecnologica de Colombia (UPTC), 2021, MAESTR GEOGR CONV; Vergara L., 2019, ANALISIS CONECTIVIDA</t>
  </si>
  <si>
    <t>10.19053/01233769.13087</t>
  </si>
  <si>
    <t>ZQ6UE</t>
  </si>
  <si>
    <t>WOS:000767237000001</t>
  </si>
  <si>
    <t>Munoz-Olano, JF; Ruiz-Zapata, GJ</t>
  </si>
  <si>
    <t>Munoz-Olano, Juan F.; Ruiz-Zapata, Glenys J.</t>
  </si>
  <si>
    <t>Counterfactual Thinking Made in a Relevan Choice and Negative Consequences</t>
  </si>
  <si>
    <t>JOURNAL OF COGNITION AND CULTURE</t>
  </si>
  <si>
    <t>counterfactual thinking; causal thinking; imagination; negative consequence; childhood cognition</t>
  </si>
  <si>
    <t>FALSE BELIEF; PERCEPTION; REFLECTION; SIMULATION; INACTION; PRIMES</t>
  </si>
  <si>
    <t>The counterfactual thinking cannot be only developed in early childhood, but it also could be a requirement for the causal reasoning. In this research a replica of German (1999) was made using counterfactual stories with Latin American kids between three and four years, demonstrating the possible main role counterfactual reasoning, by using computer animations. This was a different approach to the most recent made by Nyhout and Ganea (2020). Nonetheless, the participants of the study evidenced counterfactual reasoning to the relevant choice and the negative consequence conditions shown on the stories that represented the choices made by a starting role (McNemar, N = 40, k = 11.53, p = .001). Although some of the results were not totally conclusive under the analyzed conditions. Lastly, some possible not controlled effects are discussed from stories shown to the children, that could have motivated the counterfactual thinking.</t>
  </si>
  <si>
    <t>[Munoz-Olano, Juan F.] Univ Pedag &amp; Tecnol Colombia, Escuela Psicol, Tunja, Boyaca, Colombia; [Ruiz-Zapata, Glenys J.] Occidente IPS SAS, Cauca, Colombia</t>
  </si>
  <si>
    <t>Munoz-Olano, JF (corresponding author), Univ Pedag &amp; Tecnol Colombia, Escuela Psicol, Tunja, Boyaca, Colombia.</t>
  </si>
  <si>
    <t>juan.munoz04@uptc.edu.co; Gjohanna06@gmail.com</t>
  </si>
  <si>
    <t>Nuestra Senora del Carmen School, from Popayan city; Jean Piaget Kinder garden, from Popayan city</t>
  </si>
  <si>
    <t>We want to thank to Nuestra Senora del Carmen School and Jean Piaget Kinder garden, from Popayan city, for all their support in this research.</t>
  </si>
  <si>
    <t>Beck S. R., 2007, SOC RES CHILD DEV; Beck SR, 2011, J EXP CHILD PSYCHOL, V108, P190, DOI 10.1016/j.jecp.2010.07.009; Beck SR, 2006, CHILD DEV, V77, P413, DOI 10.1111/j.1467-8624.2006.00879.x; Buchsbaum D, 2012, PHILOS T R SOC B, V367, P2202, DOI 10.1098/rstb.2012.0122; Comite Codigo Etico del Psicologo Colombia, 2000, REV LAT AM PSICOL, V32, P209; Consideraciones eticas para la investigacion cientifica, 2014, COM 27 JUN; Coolican H., 1997, METODOS INVESTIGACIO, V2; derechodeautor, LEY NUM 23 1982 DER; DIAS MG, 1990, BRIT J DEV PSYCHOL, V8, P305, DOI 10.1111/j.2044-835X.1990.tb00847.x; Edgington D., 2011, PSYCHOLOGY; Epstude K, 2008, PERS SOC PSYCHOL REV, V12, P168, DOI 10.1177/1088868308316091; Galinsky AD, 2000, SOC COGNITION, V18, P252, DOI 10.1521/soco.2000.18.3.252; Galinsky AD, 2000, J EXP SOC PSYCHOL, V36, P384, DOI 10.1006/jesp.1999.1409; GAVANSKI I, 1989, J EXP SOC PSYCHOL, V25, P314, DOI 10.1016/0022-1031(89)90025-5; German TP, 1999, DEVELOPMENTAL SCI, V2, P442, DOI 10.1111/1467-7687.00088; German TP, 2003, DEVELOPMENTAL SCI, V6, P514, DOI 10.1111/1467-7687.00309; Gilovich T, 2003, J CROSS CULT PSYCHOL, V34, P61, DOI 10.1177/0022022102239155; GIROTTO V, 1991, ACTA PSYCHOL, V78, P111, DOI 10.1016/0001-6918(91)90007-M; GLEICHER F, 1990, PERS SOC PSYCHOL B, V16, P284, DOI 10.1177/0146167290162009; Harris P., 2000, FUNCIONAMIENTO IMAGI; Harris PL, 1996, COGNITION, V61, P233, DOI 10.1016/S0010-0277(96)00715-9; HAWKINS J, 1984, DEV PSYCHOL, V20, P584, DOI 10.1037/0012-1649.20.4.584; Higgins ET, 1997, AM PSYCHOL, V52, P1280, DOI 10.1037/0003-066X.52.12.1280; Hofstadter D. R., 1979, GODEL ESCHER BACH ET; Jiménez-Leal William, 2013, Rev. colomb. psicol., V22, P179; KAHNEMAN D, 1986, PSYCHOL REV, V93, P136, DOI 10.1037/0033-295X.93.2.136; Kahneman D, 2003, AM PSYCHOL, V58, P697, DOI 10.1037/0003-066X.58.9.697; LANDMAN J, 1987, PERS SOC PSYCHOL B, V13, P524, DOI 10.1177/0146167287134009; Mackie J. L, 1974, CEMENT UNIVERSE STUD; MACRAE CN, 1993, BRIT J PSYCHOL, V84, P221, DOI 10.1111/j.2044-8295.1993.tb02475.x; MACRAE CN, 1992, PERS SOC PSYCHOL B, V18, P84, DOI 10.1177/0146167292181012; Mandel D. R., 2000, CAUSAL COUNTERFACTUA; Mandel DR, 1996, J PERS SOC PSYCHOL, V71, P450, DOI 10.1037/0022-3514.71.3.450; Markman KD, 2003, PERS SOC PSYCHOL REV, V7, P244, DOI 10.1207/S15327957PSPR0703_04; Markman KD, 2008, J EXP SOC PSYCHOL, V44, P421, DOI 10.1016/j.jesp.2007.01.001; McMullen MN, 1997, J EXP SOC PSYCHOL, V33, P77, DOI 10.1006/jesp.1996.1313; McMullen MN, 2000, PERS SOC PSYCHOL B, V26, P575, DOI 10.1177/0146167200267005; MILLER DT, 1990, ADV EXP SOC PSYCHOL, V23, P305, DOI 10.1016/S0065-2601(08)60322-6; Munoz-Olano J. F., 2011, PSICOGENTE, V14, P439; Nyhout A, 2020, J EXP CHILD PSYCHOL, V192, DOI 10.1016/j.jecp.2019.104773; Nyhout A, 2019, CHILD DEV, V90, P610, DOI 10.1111/cdev.12913; Nyhout A, 2019, COGNITION, V183, P57, DOI 10.1016/j.cognition.2018.10.027; Perner J, 2004, COGNITIVE DEV, V19, P179, DOI 10.1016/j.cogdev.2003.12.001; Rafetseder E, 2014, CHILD DEV PERSPECT, V8, P54, DOI 10.1111/cdep.12061; Rafetseder E, 2013, J EXP CHILD PSYCHOL, V114, P389, DOI 10.1016/j.jecp.2012.10.010; Rafetseder E, 2010, CHILD DEV, V81, P376, DOI 10.1111/j.1467-8624.2009.01401.x; Riggs KJ, 1998, COGNITIVE DEV, V13, P73, DOI 10.1016/S0885-2014(98)90021-1; Robinson E. J., 2000, CHILDRENS REASONING; Roese NJ, 2009, HIST SOC RES, V34, P16; Roese NJ, 1997, PSYCHOL BULL, V121, P133, DOI 10.1037/0033-2909.121.1.133; Semin G. R., 1992, LANGUAGE INTERACTION; SHERMAN SJ, 1995, WHAT MIGHT HAVE BEEN, P199; Weisberg DS, 2013, COGNITIVE SCI, V37, P1368, DOI 10.1111/cogs.12069; WELLS GL, 1989, J PERS SOC PSYCHOL, V56, P161, DOI 10.1037/0022-3514.56.2.161; wp.presidencia, LEY HAB DAT 2008</t>
  </si>
  <si>
    <t>BRILL</t>
  </si>
  <si>
    <t>LEIDEN</t>
  </si>
  <si>
    <t>PLANTIJNSTRAAT 2, P O BOX 9000, 2300 PA LEIDEN, NETHERLANDS</t>
  </si>
  <si>
    <t>1567-7095</t>
  </si>
  <si>
    <t>1568-5373</t>
  </si>
  <si>
    <t>J COGN CULT</t>
  </si>
  <si>
    <t>J. Cogn. Cult.</t>
  </si>
  <si>
    <t>10.1163/15685373-12340136</t>
  </si>
  <si>
    <t>5U1SB</t>
  </si>
  <si>
    <t>WOS:000876332100007</t>
  </si>
  <si>
    <t>Marino, SKM; Pantoja, VMAB; Miranda, MAV</t>
  </si>
  <si>
    <t>Marino Sandra Karina, Munevar; Pantoja Victor Miguel Angel, Burbano; Miranda Margoth Adriana, Valdivieso</t>
  </si>
  <si>
    <t>Peace Games as a Strategy to M itigate Student aggression in a rural setting</t>
  </si>
  <si>
    <t>EQUIDAD &amp; DESARROLLO</t>
  </si>
  <si>
    <t>peace games; student aggressiveness; rural setting; mitigation</t>
  </si>
  <si>
    <t>This work aimed to apply a strategy based on peace games to mitigate aggressiveness as a type of violence in 50 fourth-grade students of rural primary education. Through the hermeneutic content analysis method, a reference framework is established for the research development. Through a quantitative-qualitative methodology, the information processed with the R software was collected through a strategy with three stages: application of a questionnaire to identify aggressive behaviors, intervention through a set of activities based on peace games, and evaluation of the effects generated by such activities. The results showed that the strategy significantly reduced physical aggression and hostility but slightly reduced anger and verbal aggression. It is concluded that the actions and refl ections implemented effectively decreased student aggressiveness in a high percentage in the rural context.</t>
  </si>
  <si>
    <t>[Marino Sandra Karina, Munevar] Colegio Maria Auxiliadora, Santander, Spain; [Pantoja Victor Miguel Angel, Burbano; Miranda Margoth Adriana, Valdivieso] Univ Pedag &amp; Tecnol Colombia, Tunja, Colombia</t>
  </si>
  <si>
    <t>Marino, SKM (corresponding author), Colegio Maria Auxiliadora, Santander, Spain.</t>
  </si>
  <si>
    <t>karsa04@hotmail.com; victor.burbano@uptc.edu.co; margoth.valdivieso@uptc.edu.co</t>
  </si>
  <si>
    <t>Aguirre R., 2019, REV CIENTIFICA PAIAN, V10, P4; Álvarez-Maestre Annie Julieth, 2019, Educ. Educ., V22, P277, DOI 10.5294/edu.2019.22.2.6; [Anonymous], 2014, LEY 1732 2014 CUAL S; [Anonymous], 1995, LEY 107 1994 CUAL SE; [Anonymous], 2015, DECRETO 1038 2015 CO; Barbosa S, 2018, REV KATHARSIS, V25, P141; Barbosa-Granados Sergio Humberto, 2020, Pensam. psicol., V18, P79, DOI 10.11144/javerianacali.ppsi18-2.afcv; Bardin L., 1991, ANALISIS CONTENIDO; Bernate J., 2019, ATHLOS REV INT CIENC, V16, P78; Betancur H., 2021, ENCUENTROS, V19, P74; Burbano V., 2021, RETOS, V42, P851, DOI [10.47197/retos.v42i0.87421, DOI 10.47197/RETOS.V42I0.87421]; Calderon I., 2011, ACCION PEDAGOGICA, V20, P42; Carrasco M. A., 2006, ACCION PSICOLOGICA, V4, P7, DOI DOI 10.5944/AP.4.2.478; Rocha CC, 2018, REV PAZ CONFL, V11, P7, DOI 10.30827/revpaz.v11i1.5333; Chaux E., 2012, EDUCACION CONVIVENCI, DOI [10.7440/2012.62, DOI 10.7440/2012.62]; Cuadra Martínez David Jorge, 2018, Educación, V42, P250, DOI 10.15517/revedu.v42i2.25659; Duran C, 2018, REV INT MED CIENC AC, V18, P227, DOI 10.15366/rimcafd2018.70.003; Estrada M., 2018, REV VIRTUAL UNIV CAT, P5; Fierro-Evans Cecilia, 2019, Psicoperspectivas, V18, P9, DOI 10.5027/psicoperspectivas-vol18-issue1-fulltext-1486; Hernandez-Sampieri R., 2018, METODOLOGIA INVESTIG; Iturbide-Luquin LM, 2017, REV PSICODIDACT, V22, P29, DOI 10.1387/RevPsicodidact.15918; Jaqueira AR, 2014, EDUC SIGLO XXI, V32, P15; Marino M., 2019, REV VIRTUAL UNIV CAT, V56, P141; Martinez F., 2014, REV IBEROAM EDUC, V64, P1, DOI [10.35362/rie642368, DOI 10.35362/RIE642368]; Mesa M, 2019, REV INT EDUC JUSTICI, V8, P15, DOI 10.15366/riejs2019.8.1.001; Milo O., 2019, REV CIENTIFICO METOD, P1; Montessori M, 2003, LONGSELLER; Morales E., 2021, REV LATINOAMERICANA, V51, P13, DOI 10.48102/rlee.2021.51.2.384; Narvaez J., 2021, REV VIRTUAL UNIV CAT, V63, P39, DOI [10.35575/rvucn.n63a3, DOI 10.35575/RVUCN.N63A3]; Nieto B., 2018, EUR J INVEST HEALTH, V1, P5, DOI 10.30552/ejihpe.v8i1.221; Palma M, 2018, VALENZA TACITAMENTE; Penalva A., 2017, REV INT CIENCIAS SOC, V27, P191; Redondo Pacheco Jesús, 2016, Encuentros, V14, P31, DOI 10.15665/re.v14i1.667; Temi Indagini, SUGGESTIONI, V8, P380; Torregrosa MS, 2020, J PSYCHOPATHOL BEHAV, V42, P677, DOI 10.1007/s10862-020-09809-4; Torres N., 2020, REV BOL REDIPE, V9, P88; Trejo-Magana G., 2019, REV GESTION I, V4, P133; Urrea P., 2019, J LATIN AM SOCIO CUL, V10, P92; Vaquero A., 2018, PROFESORADO REV CURR, V22, P235; Vargas N., 2019, INCLUSION DESARROLLO, V6, P3, DOI [10.26620/uniminuto.inclusion.6.1.2019.3-15, DOI 10.26620/UNIMINUTO.INCLUSION.6.1.2019.3-15]; Vidaci A, 2021, INT J ENV RES PUB HE, V18, DOI 10.3390/ijerph18105406; Yudkin-Suliveres A, 2014, REV RA XIMHAI, V10, P19; Zappi Daniela C., 2015, Rodriguésia, V66, P1085; Zurita Ortega Félix, 2015, Univ. Psychol., V14, P759, DOI 10.11144/Javeriana.upsy14-2.veaa</t>
  </si>
  <si>
    <t>UNIV LA SALLE</t>
  </si>
  <si>
    <t>CRA 7 NRO 172 85, CUNDINAMARCA, BOGOTA, 00000, COLOMBIA</t>
  </si>
  <si>
    <t>1692-7311</t>
  </si>
  <si>
    <t>2389-8844</t>
  </si>
  <si>
    <t>EQUIDAD DESARRO</t>
  </si>
  <si>
    <t>Equidad Desarro.</t>
  </si>
  <si>
    <t>10.19052/eq.vol1.iss40.9</t>
  </si>
  <si>
    <t>Social Issues</t>
  </si>
  <si>
    <t>7Z4TW</t>
  </si>
  <si>
    <t>WOS:000915554600006</t>
  </si>
  <si>
    <t>Rivera, AMM; Araque, JM; Vargas, CAP</t>
  </si>
  <si>
    <t>Rivera, A. M. Morales; Araque, Juan M.; Vargas, C. A. Parra</t>
  </si>
  <si>
    <t>Effect of Ho3+on structural and magnetic properties of the Sm3-xHoxFe5O12 ceramic system</t>
  </si>
  <si>
    <t>MATERIALS RESEARCH BULLETIN</t>
  </si>
  <si>
    <t>Garnet system; Solid-state reaction; Citrate method; Ferrimagnetic</t>
  </si>
  <si>
    <t>IRON-GARNET; MICROSTRUCTURE</t>
  </si>
  <si>
    <t>This work reports the effect of Ho3+ substitution and synthesis method on structural, morphological, and magnetic properties of the Sm3-xHoxFe5O12 (x = 0.0-1.0) produced by solid-state method and citrate reaction method. Structural characterization showed the suitable insertion of Ho3+ into dodecahedral sites, favoring the formation of the cubic structure and space-group Ia-3d (230). Obtained materials exhibited particle sizes less than 1.0 mu m and of up to 4.5 mu m for the samples obtained by the citrate and the solid-state reaction method. On the other hand, the magnetic analysis showed a ferrimagnetic behavior in the materials, which is attributable to the difference between the magnetic moments of Sm3+ and Ho3+. Thus, Ho3+ insertion in the host structure led to decreasing in the saturation magnetization and increasing in the coercive field. These results showed that Ho3+ insertion in the Sm3Fe5O12 ceramic allows its potential applications in antennas and high-frequency devices.</t>
  </si>
  <si>
    <t>[Rivera, A. M. Morales; Araque, Juan M.; Vargas, C. A. Parra] Univ Pedag &amp; Tecnol Colombia, Grp Fis Mat, Ave Cent Norte 39-115, Tunja, Colombia; [Rivera, A. M. Morales] Univ Nacl Colombia, Lab Catalisis Heterogenea, Carrera 45 26-85, Bogota, Colombia</t>
  </si>
  <si>
    <t>Rivera, AMM (corresponding author), Univ Pedag &amp; Tecnol Colombia, Grp Fis Mat, Ave Cent Norte 39-115, Tunja, Colombia.;Rivera, AMM (corresponding author), Univ Nacl Colombia, Lab Catalisis Heterogenea, Carrera 45 26-85, Bogota, Colombia.</t>
  </si>
  <si>
    <t>ammoralesri@unal.edu.co</t>
  </si>
  <si>
    <t>Departamento Administrativo de Ciencia, Tecnologia e Innovacion (COLCIENCIAS)</t>
  </si>
  <si>
    <t>This work was financially supported by the Departamento Administrativo de Ciencia, Tecnologia e Innovacion (COLCIENCIAS) .</t>
  </si>
  <si>
    <t>Akhtar MN, 2017, CERAM INT, V43, P17032, DOI 10.1016/j.ceramint.2017.09.115; Almessiere MA, 2020, J MATER RES TECHNOL, V9, P10608, DOI 10.1016/j.jmrt.2020.07.094; Bai H, 2021, APPL PHYS LETT, V119, DOI 10.1063/5.0071994; Caffarena Valeska da Rocha, 2003, Mat. Res., V6, P569, DOI 10.1590/S1516-14392003000400025; DiBiccari A.O., 2002, THESIS VIRGINIA TECH; GELLER S, 1963, PHYS REV, V131, P1080, DOI 10.1103/PhysRev.131.1080; Ghanathe M, 2021, J MAGN MAGN MATER, V523, DOI 10.1016/j.jmmm.2020.167632; Goulon J, 2012, NEW J PHYS, V14, DOI 10.1088/1367-2630/14/6/063001; Hapishah AN, 2019, RESULTS PHYS, V14, DOI 10.1016/j.rinp.2019.102391; Hapishah AN, 2017, J MATER SCI-MATER EL, V28, P15270, DOI 10.1007/s10854-017-7407-3; Inoue M, 1997, J APPL PHYS, V81, P5659, DOI 10.1063/1.364687; Kaushik SD, 2020, AIP CONF PROC, V2265, DOI 10.1063/5.0016706; Mohmed F, 2019, CERAM INT, V45, P2418, DOI 10.1016/j.ceramint.2018.10.161; Momma K, 2008, J APPL CRYSTALLOGR, V41, P653, DOI 10.1107/S0021889808012016; Rivera AMM, 2021, J ALLOY COMPD, V859, DOI 10.1016/j.jallcom.2020.157883; Rivera AMM, 2019, MATER RES-IBERO-AM J, V22, DOI [10.1590/1980-5373-mr-2019-0326, 10.1590/1980-5373-MR-2019-0326]; Mote VD, 2012, J THEOR APPL PHYS, V6, DOI 10.1186/2251-7235-6-6; Nakamoto R, 2017, PHYS REV B, V95, DOI 10.1103/PhysRevB.95.024434; Opuchovic O, 2017, J MAGN MAGN MATER, V422, P425, DOI 10.1016/j.jmmm.2016.09.041; Patel SKS, 2013, MATER RES BULL, V48, P655, DOI 10.1016/j.materresbull.2012.11.031; Petrov D, 2015, J CHEM THERMODYN, V87, P136, DOI 10.1016/j.jct.2015.03.005; Ramesh T, 2012, J MAGN MAGN MATER, V324, P3668, DOI 10.1016/j.jmmm.2012.05.029; Sadhana K, 2015, MAT SCI SEMICON PROC, V34, P305, DOI 10.1016/j.mssp.2015.02.056; Sattar AA, 2016, J MAGN MAGN MATER, V412, P172, DOI 10.1016/j.jmmm.2016.03.090; Sharma V, 2017, AIP ADV, V7, DOI 10.1063/1.4973199; Su J, 2012, PHYSICA B, V407, P485, DOI 10.1016/j.physb.2011.11.020; Vajargah SH, 2007, J ALLOY COMPD, V430, P339, DOI 10.1016/j.jallcom.2006.05.023; Yamagishi T, 2005, PHILOS MAG, V85, P1819, DOI 10.1080/09500830500038092</t>
  </si>
  <si>
    <t>0025-5408</t>
  </si>
  <si>
    <t>1873-4227</t>
  </si>
  <si>
    <t>MATER RES BULL</t>
  </si>
  <si>
    <t>Mater. Res. Bull.</t>
  </si>
  <si>
    <t>10.1016/j.materresbull.2022.112127</t>
  </si>
  <si>
    <t>Materials Science, Multidisciplinary</t>
  </si>
  <si>
    <t>Materials Science</t>
  </si>
  <si>
    <t>9E1HJ</t>
  </si>
  <si>
    <t>WOS:000936543900001</t>
  </si>
  <si>
    <t>Soler, RNC; Cremades-Andreu, R</t>
  </si>
  <si>
    <t>Soler, Ruth Nayibe Cardenas; Cremades-Andreu, Roberto</t>
  </si>
  <si>
    <t>Challenges and opportunities in music education research</t>
  </si>
  <si>
    <t>[Soler, Ruth Nayibe Cardenas] Univ Pedag &amp; Tecnol Colombia, Bogota, Colombia; [Cremades-Andreu, Roberto] Univ Complutense Madrid, Madrid, Spain</t>
  </si>
  <si>
    <t>Universidad Pedagogica y Tecnologica de Colombia (UPTC); Complutense University of Madrid</t>
  </si>
  <si>
    <t>Soler, RNC (corresponding author), Univ Pedag &amp; Tecnol Colombia, Bogota, Colombia.</t>
  </si>
  <si>
    <t>ruth.cardenas@uptc.edu.co</t>
  </si>
  <si>
    <t>Cremades-Andreu, Roberto/B-9720-2015</t>
  </si>
  <si>
    <t>Cremades-Andreu, Roberto/0000-0002-9930-1609</t>
  </si>
  <si>
    <t>Ar?stegui J.L., 2012, EDUCACAO, V37, P31, DOI [10.5902/198464443792, DOI 10.5902/198464443792]; Arnau J., 2011, MUSICOTERAPIA AMBITO; Botella A., 2017, CREATIVITY ED INNOVA, V1, P71; Soler RNC, 2015, INT J MUSIC EDUC, V33, P3, DOI 10.1177/0255761413515807; Cremades-Andreu R, 2017, REV ESP PEDAGOG, V75, P415, DOI 10.22550/REP75-3-2017-06; Cuadrado F., 2016, EUFONIA DIDACTICA MU, V69, P39; Goubert B., 2009, ESTADO ARTE AREA MUS; Gutierrez-Torres A., 2021, PENSAMIENTO Y ACCION, P109, DOI [10.19053/01201190.n31.2021.12852, DOI 10.19053/01201190.N31.2021.12852]; Lopez-Cano R., 2014, INVESTIGACION ARTIST; Morales A, 2017, REV ESP PEDAGOG, V75, P399, DOI 10.22550/REP75-3-2017-07; Rusinek G., 2006, DOCE NOTAS REV INFOR, V53, P12; Tafuri J., 2004, REV PSICODIDACT, V17, P1; Vernia Carrasco A. M., 2020, DIDACTICAE, DOI [10.1344/did.2020.7.17-29, DOI 10.1344/DID.2020.7.17-29]; Zapata G., 2017, CUAD MUSIC ARTES ESC, V13, P227, DOI [10.11144/javeriana.mavae13-1.dccr, DOI 10.11144/JAVERIANA.MAVAE13-1.DCCR]</t>
  </si>
  <si>
    <t>e14286</t>
  </si>
  <si>
    <t>10.19053/22160159.v13.n32.2022.14286</t>
  </si>
  <si>
    <t>1N0YH</t>
  </si>
  <si>
    <t>WOS:000800389000001</t>
  </si>
  <si>
    <t>Rodrigues, HDD; Moreira, FFF; Morales, I</t>
  </si>
  <si>
    <t>Rodrigues, Higor D. D.; Figueiredo Moreira, Felipe Ferraz; Morales, Irina</t>
  </si>
  <si>
    <t>New species and notes on Paravelia Breddin, 1898 (Heteroptera: Veliidae) from South America</t>
  </si>
  <si>
    <t>ZOOTAXA</t>
  </si>
  <si>
    <t>Broad-shouldered water striders; Gerromorpha; Neotropics; taxonomy</t>
  </si>
  <si>
    <t>VELIINAE HETEROPTERA; GENUS; HEMIPTERA</t>
  </si>
  <si>
    <t>The new species Paravelia ameliae (Heteroptera: Veliidae) is described based on macropterous specimens from the Department of Putumayo, in the Amazonian region of Colombia. The new species can be distinguished from all congeners mainly by the bicolored pronotum (dark-brown on the anterior two-thirds and light-brown posteriorly); the absence of distinct pruinosity or silvery patches on the anterior lobe of the pronotum; the basal macula of the forewing small and roughly ovate; the grasping comb of the male fore tibia occupying more than half of its length; the male hind femur with a row of 15 spines on the basal two-thirds; and the male paramere notched basally on its dorsal surface. Furthermore, this species displays sexual dimorphism in body shape and in hind tibial length, with males having a slightly constricted mid-abdominal region and hind tibia distinctly longer than in females. Also, in order to describe external morphological characteristics not mentioned in previous studies, supplemental descriptions are provided for P. albotrimaculata (Kirkaldy, 1899), P. loutoni Polhemus, 2014, P. nieseri Moreira &amp; Barbosa, 2012, and P. rotundanotata (Hungerford, 1930). Illustrations and a distribution map of all species treated here are presented.</t>
  </si>
  <si>
    <t>[Rodrigues, Higor D. D.; Figueiredo Moreira, Felipe Ferraz] Fundacao Oswaldo Cruz, Inst Oswaldo Cruz, Lab Biodiversidade Entomol, Rio De Janeiro, RJ, Brazil; [Morales, Irina] Univ Pedag &amp; Tecnol Colombia, Lab Entomol, Tunja, BY, Colombia</t>
  </si>
  <si>
    <t>Fundacao Oswaldo Cruz; Universidad Pedagogica y Tecnologica de Colombia (UPTC)</t>
  </si>
  <si>
    <t>Rodrigues, HDD (corresponding author), Fundacao Oswaldo Cruz, Inst Oswaldo Cruz, Lab Biodiversidade Entomol, Rio De Janeiro, RJ, Brazil.</t>
  </si>
  <si>
    <t>higorddr@gmail.com; ppmeiameiameia@gmail.com; irina.morales@uptc.edu.co</t>
  </si>
  <si>
    <t>Moreira, Felipe/E-5768-2011</t>
  </si>
  <si>
    <t>Moreira, Felipe/0000-0002-6692-0323; Rodrigues, Higor/0000-0002-9649-4142; MORALES, IRINA/0000-0003-2456-5674</t>
  </si>
  <si>
    <t>Fundacao Carlos Chagas Filho de Amparo a Pesquisa do Estado do Rio de Janeiro [E-26/202.437/2019, E-26/201.362/2021, E-26/203.250/2021]; Conselho Nacional de Desenvolvimento Cientifico e Tecnologico [301942/20196]; project La biodiversidad de Boyaca: complementacion y sintesis a traves de gradientes altitudinales e implicaciones de su incorporacion en proyectos de apropiacion social de conocimiento y de efectos de cambio climatico, suscrito en el Grupo de Investigac [BPIN 2020000100003]</t>
  </si>
  <si>
    <t>Fundacao Carlos Chagas Filho de Amparo a Pesquisa do Estado do Rio de Janeiro(Fundacao Carlos Chagas Filho de Amparo a Pesquisa do Estado do Rio De Janeiro (FAPERJ)); Conselho Nacional de Desenvolvimento Cientifico e Tecnologico(Conselho Nacional de Desenvolvimento Cientifico e Tecnologico (CNPQ)); project La biodiversidad de Boyaca: complementacion y sintesis a traves de gradientes altitudinales e implicaciones de su incorporacion en proyectos de apropiacion social de conocimiento y de efectos de cambio climatico, suscrito en el Grupo de Investigac</t>
  </si>
  <si>
    <t>We thank Patricia Mondragon (Corpochivor), for pointing out the existence of the new species, and Dan A. Polhemus (Bishop Museum, Honolulu, United States) for his usefull comments about the differences between Paravelia albotrimaculata and P. loutoni, and for preparing the photos of P. loutoni. We also thank Johann Cardenas (Instituto de Investigaciones Alexander Von Humboldt) and Erlane J. Cunha (Universidade Federal do Para) for making specimens available for study, and Wouter Dekoninck and Florence Trus (Royal Belgian Institute of Natural Sciences) for preparing the photos of P. albotrimaculata. Financial support was provided by Fundacao Carlos Chagas Filho de Amparo a Pesquisa do Estado do Rio de Janeiro (HDDR: E-26/202.437/2019; FFFM: E-26/201.362/2021, E-26/203.250/2021) and Conselho Nacional de Desenvolvimento Cientifico e Tecnologico (FFFM: 301942/20196). IM benefited from the project La biodiversidad de Boyaca: complementacion y sintesis a traves de gradientes altitudinales e implicaciones de su incorporacion en proyectos de apropiacion social de conocimiento y de efectos de cambio climatico, suscrito en el Grupo de Investigacion Biodiversidad y Conservacion, en el departamento de Boyaca Codigo BPIN 2020000100003-Sistema General de Regalias-Codigo SGI 2975. Dan A. Polhemus and Silvia A. Mazzucconi (Universidad de Buenos Aires, Argentina) kindly provided critical reviews of this manuscript.</t>
  </si>
  <si>
    <t>Mazzucconi SA, 2022, ZOOTAXA, V5104, P451, DOI 10.11646/zootaxa.5104.4.1; Armisen D., 2022, BIORXIV, DOI [10.1101/2022.01.08.475494, DOI 10.1101/2022.01.08.475494]; Rodrigues JMD, 2022, INSECTS, V13, DOI 10.3390/insects13060541; Moreira FFF, 2012, ZOOTAXA, P58; HUNGERFORD H. B., 1930, JOUR KANSAS ENT SOC, V3, P23; HUNGERFORD H. B., 1930, ANN ENT SOC AMER, V23, P120; HUNGERFORD H. B., 1929, ANN ENT SOC AMER, V22, P759; Kirkaldy G. W., 1899, Annales de la Societe Entomologique de Belgique, P505; Polhemus DA, 2021, ZOOTAXA, V4950, P345, DOI [10.11646/zootaxa.4950.2.6, 10.11646/ZOOTAXA.4950.2.6]; Polhemus DA, 2019, ZOOTAXA, V4585, P295, DOI 10.11646/zootaxa.4585.2.4; Polhemus Dan A., 2014, Tijdschrift voor Entomologie, V157, P151; POLHEMUS J T, 1976, Journal of the Kansas Entomological Society, V49, P509; POLHEMUS JT, 1993, J NEW YORK ENTOMOL S, V101, P391; Rodrigues HDD, 2016, CAN ENTOMOL, V148, P642, DOI 10.4039/tce.2016.18; Rodrigues HDD, 2014, ZOOTAXA, V3784, P1, DOI 10.11646/zootaxa.3784.1.1</t>
  </si>
  <si>
    <t>MAGNOLIA PRESS</t>
  </si>
  <si>
    <t>AUCKLAND</t>
  </si>
  <si>
    <t>250F Marua Road Mt Wellington, AUCKLAND, ST LUKES 1023, NEW ZEALAND</t>
  </si>
  <si>
    <t>1175-5326</t>
  </si>
  <si>
    <t>1175-5334</t>
  </si>
  <si>
    <t>Zootaxa</t>
  </si>
  <si>
    <t>JUL 7</t>
  </si>
  <si>
    <t>10.11646/zootaxa.5162.3.5</t>
  </si>
  <si>
    <t>3B0NM</t>
  </si>
  <si>
    <t>WOS:000827646900003</t>
  </si>
  <si>
    <t>Gutierrez-Villamil, DA; Alvarez-Herrera, JG; Fischer, G</t>
  </si>
  <si>
    <t>Alejandro Gutierrez-Villamil, Diego; Giovanni Alvarez-Herrera, Javier; Fischer, Gerhard</t>
  </si>
  <si>
    <t>Performance of the 'Anna' apple (Malus domestica Borkh.) in Tropical Highlands: A review</t>
  </si>
  <si>
    <t>Ecophysiology; endodormancy; nutrition; pomology; predormancy</t>
  </si>
  <si>
    <t>DORMANCY RELEASE; AMINO-ACIDS; BUD BREAK; EXTRACT</t>
  </si>
  <si>
    <t>The 'Anna' apple is a variety of low requirements of winter chill (250 to 300 chilling hours &lt;= 7.2 degrees C). This apple has essential health benefits and remarkable adaptive potential in tropical and subtropical areas affected by climate change. Thus, this review presents the significance of the 'Anna' apple cultivation, the phenological and eco-physiological modifications, and the current state of agronomic management when continuous crops are managed in tropical highlands. The production of this apple in tropical highlands has outstanding potential to obtain cyclical or continuous harvests (two harvests per year) in certain areas with specific environmental conditions, implementing a particular management system. In plantations, it is crucial to carry out some agronomic practices during the reproductive phenology so that the apple tree does not enter into an endodormancy. These are water stress -defoliation - tie-down branches, and the application of dormancy-breaking agents (flower-inducing compounds). In Colombia, 'Anna' variety was introduced in 1985 and is grown in areas with temperatures between 14 and 20 degrees C, altitudes between 1700 and 2800 meters above sea level (m a.s.l.), with bimodal and monomodal rain regimes, and solar brightness between 800 and 2000 hours a year. The harvest is between 100 to 120 days after anthesis, with firmness values of 38.38N, a soluble solids content of 8.58 degrees Brix, and total titratable acidity of 0.7% of the fruit. This documentation indicates a good production with great potential in terms of growth and development, earliness, and quality of the 'Anna' apple tree in Colombian highlands.</t>
  </si>
  <si>
    <t>[Alejandro Gutierrez-Villamil, Diego; Giovanni Alvarez-Herrera, Javier] Univ Pedag &amp; Tecnol Colombia, Grp Invest Agr GIA, Tunja, Colombia; [Fischer, Gerhard] Univ Nacl Colombia, Bogota, Colombia</t>
  </si>
  <si>
    <t>Gutierrez-Villamil, DA (corresponding author), Univ Pedag &amp; Tecnol Colombia, Grp Invest Agr GIA, Tunja, Colombia.</t>
  </si>
  <si>
    <t>diego.gutierrez07@uptc.edu.co; javier.alvarez@uptc.edu.co; gerfischer@gmail.com</t>
  </si>
  <si>
    <t>Gutierrez Villamil, Diego Alejandro/HNB-6609-2023</t>
  </si>
  <si>
    <t>ALVAREZ-HERRERA, JAVIER GIOVANNI/0000-0002-1737-6325; Gutierrez Villamil, Diego Alejandro/0000-0003-1771-5603</t>
  </si>
  <si>
    <t>Abdel-Sattar M, 2021, AGR WATER MANAGE, V252, DOI 10.1016/j.agwat.2021.106882; Acero D., 2018, EFECTO APLICACION HO; Alkamed A., 2020, EFFECT FOLIAR SPRAYI, DOI [10.1088/1755-1315/553/1/012034, DOI 10.1088/1755-1315/553/1/012034]; Amberger A., 2013, International Journal of Plant Physiology and Biochemistry, V5, P1; Andersen P., 2009, IFAS, V2009, P1; Aristizabal J., 1998, AGRONOMIA, V8, P9; Botero Garces N., 2000, Revista - Facultad Nacional de Agronomia Medellin, V53, P849; Buban T., 1984, Horticultural Reviews, V4, P174, DOI 10.1002/9781118060773.ch6; Campos T., 2013, FRUTALES CADUCIFOLIO, P30; Cardenas J., 2013, FRUTALES CADUCIFOLIO, P21; Casierra-Posada Fánor, 2008, rev.udcaactual.divulg.cient., V11, P95; Casierra-Posada F., 2003, Agronomia Colombiana, V21, P75; Casierra-Posada F., 2003, Agronomia Colombiana, V21, P69; Casierra-Posada F., 2001, Agronomia Colombiana, V18, P47; Casierra-Posada F., 2004, Agronomia Colombiana, V22, P160; Casierra-Posada F., 2012, MANUAL CULTIVO FRUTA, P657; Casierra-Posada F, 1993, AGRODESARROLLO, V4, P18; Cepeda M. A., 2021, REV COLOMB CIEN HORT, V15, DOI [10.17584/rcch.2021v15i2.12508, DOI 10.17584/RCCH.2021V15I2.12508]; Dennis Frank Jr., 2003, P153, DOI 10.1079/9780851995922.0153; Dussi M. C., 2007, ARBOLES FRUTALES ECO, P200; Eissa R. A. R., 2012, Journal of Applied Sciences Research, P3155; El-Agamy SZ, 2001, ACTA HORTIC, P103, DOI 10.17660/ActaHortic.2001.565.16; El-Sabagh A. S., 2012, World Journal of Agricultural Sciences, V8, P1; El-Yazal MAS, 2014, SCI HORTIC-AMSTERDAM, V169, P154, DOI 10.1016/j.scienta.2014.02.016; El-Yazal MAS, 2014, PLANT GROWTH REGUL, V72, P211, DOI 10.1007/s10725-013-9852-1; Erez A, 2000, TEMPERATE FRUIT CROPS IN WARM CLIMATES, P17; Erez A, 1998, SCI HORTIC-AMSTERDAM, V73, P111, DOI 10.1016/S0304-4238(97)00155-6; FAOSTAT, 2021, CULT PROD GAN DAT ST; FISCHER GERHARD, 2022, rev.colomb.cienc.hortic., V16, pe12769, DOI 10.17584/rcch.2022v16i1.12769; Fischer G., 1992, Proceedings of the Interamerican Society for Tropical Horticulture, V36, P49; Fischer G., 1995, Erwerbsobstbau, V37, P58; Fischer Gerhard, 2016, Agron. colomb., V34, P190, DOI 10.15446/agron.colomb.v34n2.56799; Fischer G., 2010, Revista Colombiana de Ciencias Horticolas, V4, P19; Fischer G., 2013, FRUTALES CADUCIFOLIO, P9; Fischer G., 2013, FRUTALES CADUCIFOLIO, P30; Fischer G, 2012, MANUAL CULTIVO FRUTA, P54; Fischer G., 1993, AGRODESARROLLO, V4, P18; Fischer G., 1993, FRUTALES CADUCIFOLIO, P41; Fischer G., 1993, FISIOLOGIA CRECIMIEN, V4, P1; Gomez L, 2019, INFLUENCIA RADIACION; Gonzales H., 1998, ANNA AGRONOMIA, V8, P2; He L, 2018, AGRONOMY-BASEL, V8, DOI 10.3390/agronomy8100211; Henry-Kirk RA, 2018, PLANT CELL ENVIRON, V41, P675, DOI 10.1111/pce.13125; Holguin M., 1998, AGRONOMIA, V8, P16; Ikinci A, 2019, FRESEN ENVIRON BULL, V28, P2855; Jackson D., 2010, Temperate and subtropical fruit production, P181, DOI 10.1079/9781845935016.0181; Karagiannis E, 2020, HORTIC RES-ENGLAND, V7, DOI 10.1038/s41438-020-00340-x; Kassem H., 2016, J SCI ENG RES, V3, P144; Kotb H., 2019, J PLANT PROD, V10, P681, DOI [10.21608/jpp.2019.58155, DOI 10.21608/JPP.2019.58155]; Lal M., 2018, PLANT PHYSL DEV META, P1045, DOI [10.1007/978-981-13-2023-1, DOI 10.1007/978-981-13-2023-1]; LANG GA, 1987, HORTSCIENCE, V22, P371; Luby James J., 2003, P1, DOI 10.1079/9780851995922.0001; Lurie S, 2002, J AGR FOOD CHEM, V50, P4251, DOI 10.1021/jf0200873; Miranda D., 2013, FRUTALES CADUCIFOLIO, P87; Mohamed AKA, 2008, SCI HORTIC-AMSTERDAM, V118, P25, DOI 10.1016/j.scienta.2008.05.015; Morsey M., 2015, J PLANT PROD, V6, P1789, DOI [10.21608/jpp.2015.52098, DOI 10.21608/JPP.2015.52098]; Mostafa E. A. M, 2006, J APPL SCI RES, V2, P477; Nautiyal P., 2020, INT J CURR MICROBIOL, V9, P453, DOI [10.20546/ijcmas.2020.909.057, DOI 10.20546/IJCMAS.2020.910.453]; Navarro M, 2018, FOODS, V7, DOI 10.3390/foods7020015; Nishiyama S, 2021, TREE PHYSIOL, V41, P562, DOI 10.1093/treephys/tpz111; Omaima M. H., 2007, Research Journal of Agriculture and Biological Sciences, V3, P176; Ortiz-Bobea A, 2021, NAT CLIM CHANGE, V11, P306, DOI 10.1038/s41558-021-01000-1; Pinzón Elberth Hernando, 2014, rev.udcaactual.divulg.cient., V17, P401; Puentes G., 2006, EQUIDAD DESARROLLO, V1, P39, DOI [10.19052/ed.344, DOI 10.19052/ED.344]; Pulido J., 2018, EFECTO DIFERENTES RE; Rady MM, 2014, S AFR J BOT, V92, P105, DOI 10.1016/j.sajb.2014.02.012; RICHARDSON E A, 1974, Hortscience, V9, P331; Rojas-Candelas LE, 2021, POSTHARVEST BIOL TEC, V171, DOI 10.1016/j.postharvbio.2020.111342; Sahain M. F. M., 2007, Research Journal of Agriculture and Biological Sciences, V3, P422; Schwarz H., 1993, FRUTALES CADUCIFOLIO, P41; Singh V, 2017, FRONT PLANT SCI, V8, DOI 10.3389/fpls.2017.01502; Skinner RC, 2018, NUTR REV, V76, P893, DOI 10.1093/nutrit/nuy033; Soliman M., 2018, J PLANT PROD, V9, P13, DOI [10.21608/jpp.2018.35233, DOI 10.21608/JPP.2018.35233]; STEFFENS GL, 1989, J PLANT GROWTH REGUL, V8, P301, DOI 10.1007/BF02021823; UNEP-United Nations Environment Programme, 2019, EM GAP REP 2019 GLOB; Velez J.E., 2012, MANUAL CULTIVO FRUTA, P186; Voronkov AS, 2019, RUSS J PLANT PHYSL+, V66, P922, DOI 10.1134/S1021443719060153; Wang H, 2021, AGRONOMY-BASEL, V11, DOI 10.3390/agronomy11010102; Westwood M. N., 1993, Temperate-zone pomology: physiology and culture.</t>
  </si>
  <si>
    <t>10.22267/rcia.223901.175</t>
  </si>
  <si>
    <t>5B0VO</t>
  </si>
  <si>
    <t>WOS:000863294900006</t>
  </si>
  <si>
    <t>Pinzon-Sandoval, EH; Balaguera-Lopez, HE; Almanza-Merchan, PJ</t>
  </si>
  <si>
    <t>Pinzon-Sandoval, Elberth Hernando; Balaguera-Lopez, Helber Enrique; Almanza-Merchan, Pedro Jose</t>
  </si>
  <si>
    <t>Evaluation of SPAD Index for Estimating Nitrogen and Magnesium Contents in Three Blueberry Varieties (Vaccinium corymbosum L.) on the Andean Tropics</t>
  </si>
  <si>
    <t>HORTICULTURAE</t>
  </si>
  <si>
    <t>chlorophyll index; mineral nutrition; Biloxi; macronutrient; lineal model</t>
  </si>
  <si>
    <t>BIOSYNTHESIS; PLANTS; YIELD; MACRONUTRIENTS; QUALITY; GROWTH; AREA</t>
  </si>
  <si>
    <t>In the Ericaceae family, blueberries are the most commercially important species. Estimating the nutritional and physiological status of plants is a common practice carried out by producers. However, conventional methods are destructive, costly and time consuming. In recent years, methodologies such as measurements with the SPAD chlorophyll index have become available, which has proven to be an easy, fast and non-destructive method for estimating chlorophyll, N and Mg contents in the field. Therefore, this research aimed to estimate variations in SPAD readings between varieties and to determine whether Chlorophyll Index (SPAD) values are associated with Nitrogen and Magnesium contents in blueberry plants (Vaccinium corymbosum L.) from the varieties 'Biloxi', 'Legacy' and 'Victoria' in the vegetative phase under the conditions in the municipality of Paipa-Boyaca (Colombia). The varieties presented statistical differences in the SPAD index values, with a linear correlation between the SPAD index and the contents of N and Mg with a coefficient of determination (R-2) greater than 0.8 in the three varieties. This result confirmed the usefulness and importance of using SPAD as a nutrition management tool in the evaluated varieties based on the SPAD readings, with a subsequent relationship with the threshold values of the foliar N and Magnesium status under field conditions.</t>
  </si>
  <si>
    <t>[Pinzon-Sandoval, Elberth Hernando; Almanza-Merchan, Pedro Jose] Univ Pedag &amp; Tecnol Colombia, Fac Ciencias Agr, Grp Invest Desarrollo &amp; Prod Agr Sostenible GIPSO, Tunja 150002, Colombia; [Balaguera-Lopez, Helber Enrique] Univ Nacl Colombia, Fac Ciencias Agr, Dept Agron, Carrera 30 45-03 Edificio 500, Bogota 111321, Colombia</t>
  </si>
  <si>
    <t>Balaguera-Lopez, HE (corresponding author), Univ Nacl Colombia, Fac Ciencias Agr, Dept Agron, Carrera 30 45-03 Edificio 500, Bogota 111321, Colombia.</t>
  </si>
  <si>
    <t>hebalagueral@unal.edu.co</t>
  </si>
  <si>
    <t>Balaguera Lopez, Helber Enrique/0000-0003-3133-0355</t>
  </si>
  <si>
    <t>Baek SA, 2019, PLANTS-BASEL, V8, DOI 10.3390/plants8100361; Bassi D, 2018, SCI REP-UK, V8, DOI 10.1038/s41598-018-20653-1; Callejas Rodrigo, 2013, Idesia, V31, P19, DOI 10.4067/S0718-34292013000400003; CASTAÑEDA CRISTIAN SANTIAGO, 2018, rev.colomb.cienc.hortic., V12, P329, DOI 10.17584/rcch.2018vl2i2.7566; CEPEDA M. ANDREA, 2021, rev.colomb.cienc.hortic., V15, pe12508, DOI 10.17584/rcch.2021v15i2.12508; Cleves J., 2021, FUNDAMENTOS TECNICOS, P96; Core Team R., 2013, R LANG ENV STAT COMP; Evans JR, 2001, PLANT CELL ENVIRON, V24, P755, DOI 10.1046/j.1365-3040.2001.00724.x; Fiedor L, 2019, ADV BOT RES, V90, P1, DOI 10.1016/bs.abr.2019.04.001; Fischer Gerhard, 2022, Agron. colomb., V40, P212, DOI 10.15446/agron.colomb.v40n2.101854; GÜIZA-CASTILLO LUISA-LILIANA, 2020, rev.colomb.cienc.hortic., V14, P26, DOI 10.17584/rcch.2020v14i1.11341; Han GD, 2022, PHYTON-INT J EXP BOT, V91, P2583, DOI 10.32604/phyton.2022.022866; Han GD, 2022, MOL BIOL REP, V49, P5505, DOI 10.1007/s11033-022-07430-0; Hirzel J., 2013, MANUAL AR NDANO, P31; Islam W, 2022, INT J MOL SCI, V23, DOI 10.3390/ijms23052562; Jaime-Guerrero Marilcen, 2022, Agron. colomb., V40, P58, DOI 10.15446/agron.colomb.v40n1.100044; Jiang YQ, 2019, AGRONOMY-BASEL, V9, DOI 10.3390/agronomy9070357; Lambers H, 2019, PLANT PHYSIOLOGICAL ECOLOGY, 3RD EDITION, P1, DOI 10.1007/978-3-030-29639-1; Lee Y, 2019, HORTTECHNOLOGY, V29, P300, DOI 10.21273/HORTTECH04217-18; Lim T.K., 2012, EDIBLE MED NONMEDICI, P452, DOI [10.1007/978-94-007-1764-0_60, DOI 10.1007/978-94-007-1764-0_60]; Lin FF, 2010, COMPUT ELECTRON AGR, V71, pS60, DOI 10.1016/j.compag.2009.09.006; Lukas S, 2022, PLANTS-BASEL, V11, DOI 10.3390/plants11233376; Marschner P., 2012, MINERAL NUTR HIGHER, V3rd, P668; Mehrabi F, 2022, INT J PLANT PROD, V16, P77, DOI 10.1007/s42106-021-00172-2; Nestby R, 2020, FRUIT CROPS: DIAGNOSIS AND MANAGEMENT OF NUTRIENT CONSTRAINTS, P567, DOI 10.1016/B978-0-12-818732-6.00040-X; PINZÓN-SANDOVAL ELBERTH HERNANDO, 2022, rev.colomb.cienc.hortic., V16, pe14693, DOI 10.17584/rcch.2022v16i2.14693; Prado RD, 2020, FRUIT CROPS: DIAGNOSIS AND MANAGEMENT OF NUTRIENT CONSTRAINTS, P131, DOI 10.1016/B978-0-12-818732-6.00011-3; Protzman E., 2021, BLUEBERRIES GLOBE PA, P1; RAMOS-GARCÍA CARLOS ARTURO, 2022, rev.colomb.cienc.hortic., V16, pe13398, DOI 10.17584/rcch.2022v16i1.13398; ROVEDA-HOYOS GABRIEL, 2022, rev.colomb.cienc.hortic., V16, pe13561, DOI 10.17584/rcch.2022v16i2.13561; Saravia D, 2016, AM J POTATO RES, V93, P288, DOI 10.1007/s12230-016-9505-9; Simko A., 2019, ACTA AGRAR DEBR, V2, P121, DOI [10.34101/actaagrar/2/3689, DOI 10.34101/ACTAAGRAR/2/3689]; Srivastava A.K., 2020, FRUIT CROPS DIAGNOSI, P776; Tagliavini M, 2005, EUR J AGRON, V23, P15, DOI 10.1016/j.eja.2004.09.002; Taiz L, 2017, FISIOLOGIA DESENVOLV, V6; Trankner M, 2019, PLANT PHYSIOL BIOCH, V144, P234, DOI 10.1016/j.plaphy.2019.09.040; Wadas W, 2020, AGRONOMY-BASEL, V10, DOI 10.3390/agronomy10030387; Willows RD, 2019, ADV BOT RES, V90, P141, DOI 10.1016/bs.abr.2019.03.003; Xiong DL, 2015, SCI REP-UK, V5, DOI 10.1038/srep13389; Ye X, 2019, PLANTS-BASEL, V8, DOI 10.3390/plants8100389; Yousaf M, 2021, SAUDI J BIOL SCI, V28, P3021, DOI 10.1016/j.sjbs.2021.02.043; Zeng ZQ, 2020, J INTEGR AGR, V19, P612, DOI 10.1016/S2095-3119(19)62710-3; Zhang K, 2020, AGRON J, V112, P288, DOI 10.1002/agj2.20036; Zhang YY, 2023, CURR ISSUES MOL BIOL, V45, P379, DOI 10.3390/cimb45010027; Zydlik Z, 2022, HORTICULTURAE, V8, DOI 10.3390/horticulturae8070664</t>
  </si>
  <si>
    <t>2311-7524</t>
  </si>
  <si>
    <t>Horticulturae</t>
  </si>
  <si>
    <t>10.3390/horticulturae9020269</t>
  </si>
  <si>
    <t>9I0AU</t>
  </si>
  <si>
    <t>WOS:000939184800001</t>
  </si>
  <si>
    <t>Pineda, MEB; Forero, LML; Avila, CAS</t>
  </si>
  <si>
    <t>Pineda, Mayra Eleonora Beltran; Lizarazo Forero, Luz Marina; Sierra Avila, Cesar Augusto</t>
  </si>
  <si>
    <t>Antibacterial activity of biosynthesized silver nanoparticles (AgNps) against Pectobacterium carotovorum</t>
  </si>
  <si>
    <t>BRAZILIAN JOURNAL OF MICROBIOLOGY</t>
  </si>
  <si>
    <t>Biosynthesis; Rhizospheric fungi; Pectobacterium carotovorum; Silver nanoparticles; Solanum tuberosum</t>
  </si>
  <si>
    <t>GREEN SYNTHESIS; EXTRACELLULAR BIOSYNTHESIS; SOLUBILIZATION; FUNGUS</t>
  </si>
  <si>
    <t>In a bioprospecting study of paramo soils cultivated with potato (Solanum tuberosum), 50 fungal isolates were obtained and evaluated for their nitrate reductase (NR) activity, given the role played by this enzyme in the biosynthesis of silver nanoparticles (AgNps). Five isolates strain with high NR activity belonging to Penicillium simplicissimum, Aspergillus niger, and Fusarium oxysporum species were selected, verifying the presence of the NR enzyme in their enzymatic extract. Later, these strains showed the ability to biosynthesize AgNps with distorted spherical shapes and sizes ranging from 15 to 45 nm. Subsequently, an antibiosis test was carried out by the agar diffusion method using glass fiber disks against the phytopathogenic agent Pectobacterium carotovorum, finding halos of inhibition of bacterial growth up to 15.3 mm using a 100 ppm solution of the AgNps obtained from F. oxysporum. These results contribute to generating the basis of a new alternative for the control of this phytopathogenic agent of potato, challenging to manage by traditional methods and of relevance at the post-harvest level.</t>
  </si>
  <si>
    <t>[Pineda, Mayra Eleonora Beltran] Univ Nacl Colombia, Biotecnol UN, Grp Invest Macromol UN, Grp Invest Biol Ambiental UPTC,Grp Invest Gest Am, Bogota, Colombia; [Lizarazo Forero, Luz Marina] Univ Pedag &amp; Tecnol Colombia, Grp Invest Biol Ambiental, Tunja, Colombia; [Sierra Avila, Cesar Augusto] Univ Nacl Colombia, Grp Invest Macromol, Bogota, Colombia</t>
  </si>
  <si>
    <t>Universidad Nacional de Colombia; Universidad Pedagogica y Tecnologica de Colombia (UPTC); Universidad Nacional de Colombia</t>
  </si>
  <si>
    <t>Forero, LML (corresponding author), Univ Pedag &amp; Tecnol Colombia, Grp Invest Biol Ambiental, Tunja, Colombia.</t>
  </si>
  <si>
    <t>mebeltranp@unal.edu.co; luz.lizarazo@uptc.edu.co; casierraa@unal.edu.co</t>
  </si>
  <si>
    <t>Sierra, Cesar/0000-0002-8727-7429; Beltran Pineda, Mayra Eleonora/0000-0002-0451-2535</t>
  </si>
  <si>
    <t>Science, Technology, and Innovation Fund of the General Royalties System FCTeI-SGR; National University of Colombia [HERMES 47144]</t>
  </si>
  <si>
    <t>Science, Technology, and Innovation Fund of the General Royalties System FCTeI-SGR; National University of Colombia</t>
  </si>
  <si>
    <t>This study was financed with resources from the Science, Technology, and Innovation Fund of the General Royalties System FCTeI-SGR attached to the Department of Boyaca and through the HERMES 47144 project of the National University of Colombia; Biosynthesis of silver nanoparticles from rhizospheric fungi and its immobilization in a natural fiber for in vitro control of phytopathogenic bacteria (Pectobacterium carotovorum).</t>
  </si>
  <si>
    <t>Abbasi E, 2016, CRIT REV MICROBIOL, V42, P173, DOI 10.3109/1040841X.2014.912200; AbdelRahim K, 2017, SAUDI J BIOL SCI, V24, P208, DOI 10.1016/j.sjbs.2016.02.025; ACHI OK, 1993, J CHEM TECHNOL BIOT, V57, P121, DOI 10.1002/jctb.280570205; Ahluwalia V, 2014, IND CROP PROD, V55, P202, DOI 10.1016/j.indcrop.2014.01.026; Ahmad A, 2003, COLLOID SURFACE B, V28, P313, DOI 10.1016/S0927-7765(02)00174-1; Al-Juraifani A. A. A., 2015, African Journal of Biotechnology, V14, P2170; Alghuthaymi MA, 2015, BIOTECHNOL BIOTEC EQ, V29, P221, DOI 10.1080/13102818.2015.1008194; Almeida ES, 2017, BIOPROC BIOSYST ENG, V40, P1291, DOI 10.1007/s00449-017-1788-9; Casagrande MG, 2019, FRONT BIOENG BIOTECH, V7, DOI 10.3389/fbioe.2019.00287; Czajkowski R, 2011, PLANT PATHOL, V60, P999, DOI 10.1111/j.1365-3059.2011.02470.x; de Souza AO, 2015, FUNGAL BIOMOLECULES: SOURCES, APPLICATIONS AND RECENT DEVELOPMENTS, P117; Devi Lamabam Sophiya, 2015, J Microsc Ultrastruct, V3, P29, DOI 10.1016/j.jmau.2014.10.004; Dhillon GS, 2012, CRIT REV BIOTECHNOL, V32, P49, DOI 10.3109/07388551.2010.550568; Dhoble S., 2015, INT J SCI RES, V4, P3; EL-Moslamy SH, 2017, SCI REP-UK, V7, DOI 10.1038/srep45297; Elamawi RM, 2018, EGYPT J BIOL PEST CO, V28, DOI 10.1186/s41938-018-0028-1; Elgorban AM, 2016, BIOTECHNOL BIOTEC EQ, V30, P299, DOI 10.1080/13102818.2015.1133255; Elizabath A., 2019, INT J PURE APPL BIOS, V7, P131, DOI [10.18782/2320-7051.6493, DOI 10.18782/2320-7051.6493]; FAO [Food and Agricultural Organization of the United Nations], 2019, FAOSTAT; Fatima F, 2015, BMC MICROBIOL, V15, DOI 10.1186/s12866-015-0391-y; GARNAUT R, 1992, ECONOMIC REFORM AND INTERNATIONALISATION: CHINA AND THE PACIFIC REGION, P1; Gokul GG, 2019, BIOCATAL AGRIC BIOTE, V17, P60, DOI 10.1016/j.bcab.2018.11.001; Gonzalez, 2015, NANOPARTICULAS COLOI; Hamad MT, 2019, INT J ENVIRON SCI TE, V16, P1015, DOI 10.1007/s13762-018-1814-8; Hamedi S, 2017, ARTIF CELL NANOMED B, V45, P1588, DOI 10.1080/21691401.2016.1267011; HARLEY SM, 1993, AM BIOL TEACH, V55, P161, DOI 10.2307/4449615; Hemath Naveen KS., 2010, APPL SCI RES, V2, P161; Honary S, 2013, TROP J PHARM RES, V12, P7, DOI 10.4314/tjpr.v12i1.2; Hu XJ, 2014, J MICROBIOL METH, V99, P81, DOI 10.1016/j.mimet.2014.02.009; Ibrahim HMM, 2016, CARBOHYD POLYM, V151, P841, DOI 10.1016/j.carbpol.2016.05.041; Jaidev LR, 2010, COLLOID SURFACE B, V81, P430, DOI 10.1016/j.colsurfb.2010.07.033; Jain N, 2011, NANOSCALE, V3, P635, DOI 10.1039/c0nr00656d; Keat C, 2015, BIORESOUR BIOPROCESS, DOI 10.1186/s40643-015-0076-2; Kotval S., 2016, J CHEM BIOL PHYS SCI, V6, P997; Krishnakumar S., 2015, Journal of Chemical and Pharmaceutical Research, V7, P62; LELLIOTT RA, 1966, J APPL BACTERIOL, V29, P470, DOI 10.1111/j.1365-2672.1966.tb03499.x; Lurwanu Y, 2021, EVOL APPL, V14, P1274, DOI 10.1111/eva.13197; Ma L, 2017, MAT SCI ENG C-MATER, V77, P963, DOI 10.1016/j.msec.2017.03.294; Madakka M, 2018, METHODSX, V5, P20, DOI 10.1016/j.mex.2017.12.003; Majeed S, 2016, J TAIBAH UNIV SCI, V10, P614, DOI 10.1016/j.jtusci.2016.02.010; Mansfield J, 2012, MOL PLANT PATHOL, V13, P614, DOI 10.1111/j.1364-3703.2012.00804.x; Mishra S, 2015, APPL MICROBIOL BIOT, V99, P1097, DOI 10.1007/s00253-014-6296-0; Moritz M, 2013, CHEM ENG J, V228, P596, DOI 10.1016/j.cej.2013.05.046; Nayak BK, 2018, BIOCATAL AGRIC BIOTE, V16, P412, DOI 10.1016/j.bcab.2018.09.014; Ottoni CA, 2017, AMB EXPRESS, V7, DOI 10.1186/s13568-017-0332-2; Pitt JI, 2009, FUNGI AND FOOD SPOILAGE, THIRD EDITION, P1, DOI 10.1007/978-0-387-92207-2_1; Ramos MM, 2020, BIOTECHNOL LETT, V42, P833, DOI 10.1007/s10529-020-02819-y; Sambrook J., 2001, MOL CLONING LAB MANU, P2344; Samson R.A., 2004, INTRO FOOD AIRBORNE; SAYER JA, 1995, MYCOL RES, V99, P987, DOI 10.1016/S0953-7562(09)80762-4; Shahzad A, 2019, J NANOMATER, V2019, DOI 10.1155/2019/5168698; Siddiqi KS, 2016, NANOSCALE RES LETT, V11, DOI 10.1186/s11671-016-1311-2; Singh KD, 2014, BIOMED RES INT-UK, V2014, DOI 10.1155/2014/538053; Wakelin SA, 2004, BIOL FERT SOILS, V40, P36, DOI 10.1007/s00374-004-0750-6; Winn W, 2006, KONEMAN DIAGNOSTICO; Zomorodian K, 2016, BIOMED RES INT, V2016, DOI 10.1155/2016/5435397</t>
  </si>
  <si>
    <t>1517-8382</t>
  </si>
  <si>
    <t>1678-4405</t>
  </si>
  <si>
    <t>BRAZ J MICROBIOL</t>
  </si>
  <si>
    <t>Braz. J. Microbiol.</t>
  </si>
  <si>
    <t>10.1007/s42770-022-00757-7</t>
  </si>
  <si>
    <t>Microbiology</t>
  </si>
  <si>
    <t>4G7HB</t>
  </si>
  <si>
    <t>WOS:000819163400001</t>
  </si>
  <si>
    <t>Osuna, FJ; Chaparro, JR; Pavon, E; Alba, MD</t>
  </si>
  <si>
    <t>Osuna, Francisco J.; Chaparro, Javier R.; Pavon, Esperanza; Alba, Maria D.</t>
  </si>
  <si>
    <t>Improved stability of design clay minerals at high temperature: A comparison study with natural ones</t>
  </si>
  <si>
    <t>CERAMICS INTERNATIONAL</t>
  </si>
  <si>
    <t>Ceramics; Brittle micas; Thermal stability; Swelling; Dehydration; rehydration</t>
  </si>
  <si>
    <t>SOLID-STATE NMR; STRUCTURAL-CHARACTERIZATION; HYDROTHERMAL REACTIVITY; CATION-EXCHANGE; CHEMICAL-SHIFTS; CARBON-DIOXIDE; SWELLING MICA; PART I; MONTMORILLONITE; SI-29</t>
  </si>
  <si>
    <t>Clay minerals are ceramics materials that are involved in a wide range of economic uses. But, their structure and composition are modified by heating and, consequently, compromise their final applications. The actual tem-peratures at which changes occur vary greatly from one group to another group and even for different specimens within a given group. The aim of this research has been to evaluate the thermal behaviour of a set of design swelling micas, Na-Mica -n (Mn) and compare them with a set of natural smectites. All samples were heated in the range 200 degrees C to 1000 degrees C; afterwards, they were rehydrated thorough water suspension (0.4% wt). The results have shown that swelling micas have better property of hydration/dehydration than natural clay minerals and those with higher layer charge exhibited higher rehydration ability and dehydration temperature.</t>
  </si>
  <si>
    <t>[Osuna, Francisco J.; Chaparro, Javier R.; Pavon, Esperanza; Alba, Maria D.] Inst Ciencia Mat Sevilla CSIC US, Avda Amer Vespucio 49, Seville 41092, Spain; [Chaparro, Javier R.] Univ Pedag &amp; Tecnol Colombia Uptc, Ave Cent Norte 39-115, Boyaca, Colombia; [Pavon, Esperanza] Univ Seville, Dept Fis Mat Condensada, Avda Reina Mercedes S-N, Seville 41012, Spain</t>
  </si>
  <si>
    <t>Consejo Superior de Investigaciones Cientificas (CSIC); Instituto de Ciencia de Materiales de Sevilla (ICMS-CSIC); University of Sevilla; Universidad Pedagogica y Tecnologica de Colombia (UPTC); University of Sevilla</t>
  </si>
  <si>
    <t>Alba, MD (corresponding author), Inst Ciencia Mat Sevilla CSIC US, Avda Amer Vespucio 49, Seville 41092, Spain.</t>
  </si>
  <si>
    <t>alba@icmse.csic.es</t>
  </si>
  <si>
    <t>Osuna, Francisco Javier/O-3654-2014; Pavon, Esperanza/E-6336-2010; ALBA, MARIA D/J-6831-2014</t>
  </si>
  <si>
    <t>Osuna, Francisco Javier/0000-0002-7761-0750; CHAPARRO BARAJAS, JAVIER R./0000-0001-6254-2962; Pavon, Esperanza/0000-0002-4476-4403; ALBA, MARIA D/0000-0003-0025-3078</t>
  </si>
  <si>
    <t>Junta de Andalucia [P12-FQM-567]; University of Seville; Ministerio de Ciencia Tecnologia e Innovacion - MINCIENCIAS, Colombia [860/2019]</t>
  </si>
  <si>
    <t>Junta de Andalucia(Junta de Andalucia); University of Seville; Ministerio de Ciencia Tecnologia e Innovacion - MINCIENCIAS, Colombia</t>
  </si>
  <si>
    <t>F.J. Osuna thanks his grant to the training researcher program associated with the excellence project of Junta de Andalucia (P12-FQM-567). Dr. Pavon thanks University of Seville for the financial support of her current contract from VI PPIT-US program. Dr. Chaparro thanks to Ministerio de Ciencia Tecnologia e Innovacion - MINCIENCIAS, Colombia for a grant (call 860/2019).</t>
  </si>
  <si>
    <t>Alba MD, 2006, CHEM MATER, V18, P2867, DOI 10.1021/cm0514802; Alba MD, 2003, J PHYS CHEM B, V107, P3996, DOI 10.1021/jp026344o; Alba MD, 2001, AM MINERAL, V86, P115; [Anonymous], SOURCE CLAY MINERALS; Balde MY, 2021, INT J APPL CERAM TEC, V18, P1033, DOI 10.1111/ijac.13669; Becher TB, 2019, SOFT MATTER, V15, P1278, DOI 10.1039/c8sm01965g; Bergaya F, 2006, DEV CLAY SCI, V1, P393, DOI 10.1016/S1572-4352(05)01012-3; Bergaya F, 2006, DEV CLAY SCI, V1, P1, DOI 10.1016/S1572-4352(05)01001-9; Bhattacherjee S, 2022, CEMENT CONCRETE COMP, V132, DOI 10.1016/j.cemconcomp.2022.104624; Bryce DL, 2006, J PHYS CHEM A, V110, P13568, DOI 10.1021/jp065171q; Busch A, 2008, INT J GREENH GAS CON, V2, P297, DOI 10.1016/j.ijggc.2008.03.003; Cao YB, 2022, RESOUR CONSERV RECY, V179, DOI 10.1016/j.resconrec.2021.106116; CASAL B, 1994, CLAY MINER, V29, P191, DOI 10.1180/claymin.1994.029.2.05; Cattaneo AS, 2011, J PHYS CHEM C, V115, P12517, DOI 10.1021/jp2020676; Derkowski A, 2012, AM MINERAL, V97, P610, DOI 10.2138/am.2012.3871; Engelhardt G., 1987, HIGH RESOLUTION SOLI; Ewing RC, 2015, NAT MATER, V14, P252, DOI 10.1038/nmat4226; Ferrage E, 2007, AM MINERAL, V92, P994, DOI 10.2138/am.2007.2396; Gencel O, 2022, APPL SCI-BASEL, V12, DOI 10.3390/app12115752; Giesting P, 2012, INT J GREENH GAS CON, V8, P73, DOI 10.1016/j.ijggc.2012.01.011; Goni S, 2010, J THERM ANAL CALORIM, V102, P965, DOI 10.1007/s10973-010-0816-7; International Atomic Energy Agency, 2022, CHAR SWELL CLAYS COM; Javadpour F, 2007, J CAN PETROL TECHNOL, V46, P55, DOI 10.2118/07-10-06; Kimura H, 2011, RHEOL ACTA, V50, P159, DOI 10.1007/s00397-011-0532-7; Kirkpatrick R.J., 1985, AM MINERAL, V50, P1; Kodama T, 2003, SEPAR SCI TECHNOL, V38, P679, DOI 10.1081/SS-120016659; Komarneni S, 2008, CURR APPL PHYS, V8, P104, DOI 10.1016/j.cap.2007.04.012; LAPERCHE V, 1990, J PHYS CHEM-US, V94, P8821, DOI 10.1021/j100388a015; Li R, 2022, LECT NOTES CIVIL ENG, V203, P677, DOI 10.1007/978-981-16-7160-9_68; Liebau F., 1985, STRUCTURAL CHEM SILI; Luzu B, 2022, POWDER TECHNOL, V408, DOI 10.1016/j.powtec.2022.117702; Ma LY, 2019, APPL CLAY SCI, V183, DOI 10.1016/j.clay.2019.105332; MacKenzie KJ, 2002, MULTINUCLEAR SOLID S; MAGI M, 1984, J PHYS CHEM-US, V88, P1518, DOI 10.1021/j150652a015; Mantovani M, 2009, APPL GEOCHEM, V24, P1251, DOI 10.1016/j.apgeochem.2009.03.012; Martin-Rodriguez R, 2019, ACS APPL MATER INTER, V11, P7559, DOI 10.1021/acsami.8b20030; Massiot D, 2002, MAGN RESON CHEM, V40, P70, DOI 10.1002/mrc.984; Michot LJ, 2005, AM MINERAL, V90, P166, DOI 10.2138/am.2005.1600; Murray H. H., 1991, APPL CLAY SCI, V5, P379, DOI DOI 10.1016/0169-1317(91)90014-Z; Naranjo M, 2015, MICROPOR MESOPOR MAT, V204, P282, DOI 10.1016/j.micromeso.2014.11.026; Naranjo M, 2014, MICROPOR MESOPOR MAT, V186, P176, DOI 10.1016/j.micromeso.2013.12.004; OHGUSHI T, 1994, ZEOLITES, V14, P356, DOI 10.1016/0144-2449(94)90109-0; Osuna FJ, 2018, AM MINERAL, V103, P623, DOI 10.2138/am-2018-6203; Osuna FJ, 2017, APPL CLAY SCI, V143, P293, DOI 10.1016/j.clay.2017.03.041; Park TJ, 2021, NUCL ENG TECHNOL, V53, P1511, DOI 10.1016/j.net.2020.10.012; Pavon E, 2017, GEOCHIM COSMOCHIM AC, V217, P231, DOI 10.1016/j.gca.2017.08.028; Pavon E, 2014, J PHYS CHEM C, V118, P2115, DOI 10.1021/jp4110695; Pavon E, 2013, AM MINERAL, V98, P394, DOI 10.2138/am.2013.4217; Ravella R, 2008, ENVIRON SCI TECHNOL, V42, P113, DOI 10.1021/es070854k; Reinholdt M, 2005, CLAY MINER, V40, P177, DOI 10.1180/0009855054020164; Romanov VN, 2013, INT J GREENH GAS CON, V14, P220, DOI 10.1016/j.ijggc.2013.01.022; Ross DJK, 2009, MAR PETROL GEOL, V26, P916, DOI 10.1016/j.marpetgeo.2008.06.004; SANZ J, 1984, J AM CHEM SOC, V106, P4790, DOI 10.1021/ja00329a024; Sellin P, 2013, CLAY CLAY MINER, V61, P477, DOI 10.1346/CCMN.2013.0610601; SMITH KA, 1983, AM MINERAL, V68, P1206; THOMPSON JG, 1993, J SOLID STATE CHEM, V104, P59, DOI 10.1006/jssc.1993.1141; Trill H, 2003, J PHYS CHEM B, V107, P8779, DOI 10.1021/jp0224618; Wallace JF, 2015, GEOTECH TEST J, V38, P574, DOI 10.1520/GTJ20140211; Wang L., 2012, MICA PROP SYNTH ANSD, P39; Wang SN, 2022, B ENG GEOL ENVIRON, V81, DOI 10.1007/s10064-022-02734-8; WEISS CA, 1987, AM MINERAL, V72, P935; Weller MT, 1997, STUD SURF SCI CATAL, V105, P455; Zeng Z, 2013, DALTON T, V42, P8585, DOI 10.1039/c3dt50627d; Zhang Z, 2018, RSC ADV, V8, P3951, DOI 10.1039/c7ra11049a</t>
  </si>
  <si>
    <t>0272-8842</t>
  </si>
  <si>
    <t>1873-3956</t>
  </si>
  <si>
    <t>CERAM INT</t>
  </si>
  <si>
    <t>Ceram. Int.</t>
  </si>
  <si>
    <t>10.1016/j.ceramint.2022.10.046</t>
  </si>
  <si>
    <t>Materials Science, Ceramics</t>
  </si>
  <si>
    <t>7K6RV</t>
  </si>
  <si>
    <t>WOS:000905408600001</t>
  </si>
  <si>
    <t>Supelano, GI; Mesa, F; Vargas, CAP; Gomez, JAM; Dussan, A</t>
  </si>
  <si>
    <t>Supelano, G. I.; Mesa, F.; Vargas, C. A. Parra; Gomez, J. A. Mejia; Dussan, A.</t>
  </si>
  <si>
    <t>Assessment of surface and electrical properties of the TiO2@zeolite hybrid materials</t>
  </si>
  <si>
    <t>PHOTOCATALYTIC DEGRADATION; TIO2 PHOTOCATALYST; TITANIUM-DIOXIDE; ZEOLITE; WATER</t>
  </si>
  <si>
    <t>Degradation of pollutants in aqueous medium is of high interest due to the impact on environment and human health, therefore, design and study of the physico-chemical properties of photocatalysts for water remediation are of major significance. Among properties of photocatalyst, those related to the surface and electrical mechanism are crucial to the photocatalyst ' s performance. Here we report the chemical and morphological characteristics of TiO2@zeolite photocatalyst by X-ray photoelectron spectroscopy (XPS) and scanning electron microscopy (SEM) respectively, and a coherent electrical conduction mechanism was proposed based on data obtained from assisted laser impedance spectroscopy (ALIS), in which the zeolite was synthesized from recycled coal fly ash. The results obtained by SEM and XPS verified the presence of spherical particles of TiO2 anatase with presence of Ti3+ state. ALIS results showed that impedance of the entire system increases when the amount of TiO2 increases and the samples with lower capacitive performance allowed a larger transfer of the charges between the solid-liquid interface. All results showed that higher photocatalytic performance of TiO2 growth over hydroxysodalite with 8.7 wt% and 25 wt% of TiO2 can be explained in terms of the morphology of TiO2 and the interactions between substrate-TiO2 mainly.</t>
  </si>
  <si>
    <t>[Supelano, G. I.; Vargas, C. A. Parra] Univ Pedag &amp; Tecnol Colombia UPTC, Grp Fis Mat, Ave Cent Norte 39-115, Tunja 150003, Boyaca, Colombia; [Mesa, F.] Fdn Univ Libertadores, Fac Ingn &amp; Ciencias Basicas, Cra 16 63a-68, Bogota, Colombia; [Gomez, J. A. Mejia] Univ Antonio Narino, Grp GIFAM, Carrera 7 21-84, Tunja 150001, Boyaca, Colombia; [Dussan, A.] Univ Nacl Colombia, Grp Mat Nanoestruct &amp; Aplicc, Cra 30 45-03,Edificio 404 Lab 121C, Bogota 11001, Colombia</t>
  </si>
  <si>
    <t>Universidad Pedagogica y Tecnologica de Colombia (UPTC); Universidad Antonio Narino; Universidad Nacional de Colombia</t>
  </si>
  <si>
    <t>Mesa, F (corresponding author), Fdn Univ Libertadores, Fac Ingn &amp; Ciencias Basicas, Cra 16 63a-68, Bogota, Colombia.</t>
  </si>
  <si>
    <t>fredy.mesa@libertadores.edu.co</t>
  </si>
  <si>
    <t>Abdelrahman EA, 2021, J HAZARD MATER, V401, DOI 10.1016/j.jhazmat.2020.123813; Akpan UG, 2009, J HAZARD MATER, V170, P520, DOI 10.1016/j.jhazmat.2009.05.039; Amereh E, 2010, MATER CHEM PHYS, V120, P356, DOI 10.1016/j.matchemphys.2009.11.019; [Anonymous], OPTIMIZATION TIO2 ZS; Anpo M, 2000, PURE APPL CHEM, V72, P1265, DOI 10.1351/pac200072071265; Arango MAT, 2017, ACS SUSTAIN CHEM ENG, V5, P10421, DOI 10.1021/acssuschemeng.7b02450; Bacakova L, 2018, BIOMATER SCI-UK, V6, P974, DOI 10.1039/c8bm00028j; Badvi K, 2021, J CLEAN PROD, V280, DOI 10.1016/j.jclepro.2020.124518; Belviso C, 2020, PROCESSES, V8, DOI 10.3390/pr8070820; Bharti B, 2016, SCI REP-UK, V6, DOI 10.1038/srep32355; Bondarenko A. S., 2005, EIS SPECTRUM ANAL; Bootluck W, 2021, J ENVIRON CHEM ENG, V9, DOI 10.1016/j.jece.2021.105660; Chen F, 2021, RARE METALS, V40, P3125, DOI 10.1007/s12598-021-01755-8; Chen J, 2002, J PHOTOCH PHOTOBIO A, V148, P183, DOI 10.1016/S1010-6030(02)00041-2; Cheng D, 2019, J HAZARD MATER, V378, DOI 10.1016/j.jhazmat.2019.120752; Daghrir R, 2013, IND ENG CHEM RES, V52, P3581, DOI 10.1021/ie303468t; Derikvandi H, 2017, J COLLOID INTERF SCI, V490, P652, DOI 10.1016/j.jcis.2016.11.105; Diaz L, 2021, INORG CHEM FRONT, V8, P3491, DOI 10.1039/d0qi01311k; El-Nahas S, 2020, J WATER PROCESS ENG, V33, DOI 10.1016/j.jwpe.2019.101104; Garcia IS, 2022, CONDENS MATTER, V7, DOI 10.3390/condmat7040069; Guettai N, 2005, DESALINATION, V185, P427, DOI 10.1016/j.desal.2005.04.048; Ikram M, 2022, INT J MOL SCI, V23, DOI 10.3390/ijms231810637; Jha B, 2016, ADV STRUCT MAT, V78, P5, DOI 10.1007/978-981-10-1404-8_2; Karimi-Maleh H, 2022, FOOD CHEM TOXICOL, V164, DOI 10.1016/j.fct.2022.112961; Liu ZC, 2014, MATER EXPRESS, V4, P465, DOI 10.1166/mex.2014.1196; Mahendran V, 2021, SEP PURIF TECHNOL, V274, DOI 10.1016/j.seppur.2021.119011; Mao CY, 2017, LANGMUIR, V33, P13634, DOI 10.1021/acs.langmuir.7b02403; Mesa F, 2021, J PHYS D APPL PHYS, V54, DOI 10.1088/1361-6463/abc380; Nomura Y, 2020, CHEM ENG J, V380, DOI 10.1016/j.cej.2019.122479; Ohno T, 2003, CHEM LETT, V32, P364, DOI 10.1246/cl.2003.364; Park JA, 2018, CHEMOSPHERE, V191, P738, DOI 10.1016/j.chemosphere.2017.10.094; Primo A, 2014, CHEM SOC REV, V43, P7548, DOI 10.1039/c3cs60394f; Pu XQ, 2020, J CLEAN PROD, V265, DOI 10.1016/j.jclepro.2020.121822; Rehakova M, 2004, CURR OPIN SOLID ST M, V8, P397, DOI 10.1016/j.cossms.2005.04.004; Sayehi M, 2020, MATER CHEM PHYS, V248, DOI 10.1016/j.matchemphys.2020.122903; Supelano GI, 2020, FUEL, V263, DOI 10.1016/j.fuel.2019.116800; Tayebi M, 2019, SOL ENERGY, V190, P185, DOI 10.1016/j.solener.2019.08.020; Xu R., 2007, CHEM ZEOLITES RELATE, DOI 10.1002/9780470822371.ch2; Yang L, 2017, APPL SURF SCI, V392, P687, DOI 10.1016/j.apsusc.2016.09.023; Zhang PL, 2009, APPL CATAL B-ENVIRON, V89, P118, DOI 10.1016/j.apcatb.2008.12.002; Zhang ZH, 2014, ACS APPL MATER INTER, V6, P691, DOI 10.1021/am404848n</t>
  </si>
  <si>
    <t>MAR 4</t>
  </si>
  <si>
    <t>10.1038/s41598-023-30529-8</t>
  </si>
  <si>
    <t>9S9QM</t>
  </si>
  <si>
    <t>WOS:000946670000037</t>
  </si>
  <si>
    <t>Undagoitia, TM; Rodejohann, W; Wolf, T; Yaguna, CE</t>
  </si>
  <si>
    <t>Undagoitia, Teresa Marrodan; Rodejohann, Werner; Wolf, Tim; Yaguna, Carlos E.</t>
  </si>
  <si>
    <t>Laboratory limits on the annihilation or decay of dark matter particles</t>
  </si>
  <si>
    <t>PROGRESS OF THEORETICAL AND EXPERIMENTAL PHYSICS</t>
  </si>
  <si>
    <t>SOLAR NEUTRINOS; XENON1T</t>
  </si>
  <si>
    <t>Constraints on the indirect detection of dark matter are usually obtained from observations of astrophysical objects-the Galactic Center, dwarf galaxies, M31, etc. Here we propose instead to look for the annihilation or decay of dark matter particles taking place inside detectors searching directly for dark matter or in large neutrino experiments. We show that the data from XENON1T and Borexino set limits on the annihilation and decay rates of dark matter particles with masses in the keV to few MeV range. All relevant final states are considered: annihilation into gamma gamma and e(-)e(+) and decays into gamma gamma, gamma nu, and e(-)e(+). The expected sensitivities in XENONnT, DARWIN, JUNO, and THEIA are also computed. Though weaker than current astrophysical bounds, the laboratory limits (and projections) obtained are free from the usual astrophysical uncertainties associated with J-factors and unknown backgrounds, and may thus offer a complementary probe of the dark matter properties. We point out that current and future (astro)particle physics detectors might also be used to set analogous limits for different decays and dark matter masses above a few MeV.</t>
  </si>
  <si>
    <t>[Undagoitia, Teresa Marrodan; Rodejohann, Werner; Wolf, Tim] Max Planck Inst Kernphys, Postfach 103980, D-69029 Heidelberg, Germany; [Yaguna, Carlos E.] Univ Pedag &amp; Tecnol Colombia, Escuela Fis, Ave Cent Norte 39-115, Tunja, Colombia</t>
  </si>
  <si>
    <t>Max Planck Society; Universidad Pedagogica y Tecnologica de Colombia (UPTC)</t>
  </si>
  <si>
    <t>Undagoitia, TM (corresponding author), Max Planck Inst Kernphys, Postfach 103980, D-69029 Heidelberg, Germany.</t>
  </si>
  <si>
    <t>teresa.marrodan@mpi-hd.mpg.de; werner.rodejohann@mpi-hd.mpg.de; tim.wolf@mpi-hd.mpg.de; carlos.yaguna@uptc.edu.co</t>
  </si>
  <si>
    <t>Marrodan Undagoitia, Teresa/0000-0001-9332-6074</t>
  </si>
  <si>
    <t>SCOAP3</t>
  </si>
  <si>
    <t>Open Access funding: SCOAP3.</t>
  </si>
  <si>
    <t>Aalbers J., 2016, J COSMOL ASTROPART P, V2016, DOI [10.1088/1475-7516/2016/11/017, DOI 10.1088/1475-7516/2016/11/017]; Aalseth CE, 2018, EUR PHYS J PLUS, V133, DOI 10.1140/epjp/i2018-11973-4; Abazajian KN, 2017, PHYS REP, V711, P1, DOI 10.1016/j.physrep.2017.10.003; Abe k, ARXIV180504163HEPEX; Abi B, 2020, J INSTRUM, V15, DOI 10.1088/1748-0221/15/08/T08010; Agostini M, 2020, PHYS REV D, V101, DOI 10.1103/PhysRevD.101.062001; Agostini M, 2019, PHYS REV D, V100, DOI 10.1103/PhysRevD.100.082004; Agostini M, 2018, NATURE, V562, P505, DOI 10.1038/s41586-018-0624-y; Akerib D.S., ARXIV150902910PHYSIC; Aprile E, 2020, J COSMOL ASTROPART P, DOI 10.1088/1475-7516/2020/11/031; Aprile E, 2020, PHYS REV D, V102, DOI 10.1103/PhysRevD.102.072004; Aprile E, 2020, EUR PHYS J C, V80, DOI 10.1140/epjc/s10052-020-8284-0; Aprile E, 2018, PHYS REV LETT, V121, DOI 10.1103/PhysRevLett.121.111302; Aprile E, 2017, EUR PHYS J C, V77, DOI 10.1140/epjc/s10052-017-5326-3; Askins M, 2020, EUR PHYS J C, V80, DOI 10.1140/epjc/s10052-020-7977-8; Back H, 2012, J INSTRUM, V7, DOI 10.1088/1748-0221/7/10/P10018; Bartels R, 2016, PHYS REV LETT, V116, DOI 10.1103/PhysRevLett.116.051102; Billard J, ARXIV210407634HEPEX; Boyarsky A, 2019, PROG PART NUCL PHYS, V104, P1, DOI 10.1016/j.ppnp.2018.07.004; Boyarsky A, 2015, PHYS REV LETT, V115, DOI 10.1103/PhysRevLett.115.161301; Chadha-Day F., ARXIV210501406HEPPH; Cowan G, 2011, EUR PHYS J C, V71, DOI 10.1140/epjc/s10052-011-1554-0; Djurcic Z, ARXIV150807166PHYSIC; Fukuda S, 2003, NUCL INSTRUM METH A, V501, P418, DOI 10.1016/S0168-9002(03)00425-X; Gando A, 2016, PHYS REV LETT, V117, DOI 10.1103/PhysRevLett.117.082503; Goodenough L., ARXIV09102998HEPPH; Green AM, 2017, PHYS REV D, V96, DOI 10.1103/PhysRevD.96.043020; Irastorza IG, 2018, PROG PART NUCL PHYS, V102, P89, DOI 10.1016/j.ppnp.2018.05.003; Jeltema T, 2015, MON NOT R ASTRON SOC, V450, P2143, DOI 10.1093/mnras/stv768; Kahlhoefer F, 2017, INT J MOD PHYS A, V32, DOI 10.1142/S0217751X1730006X; Klasen M, 2015, PROG PART NUCL PHYS, V85, P1, DOI 10.1016/j.ppnp.2015.07.001; Ng KCY, 2019, PHYS REV D, V99, DOI 10.1103/PhysRevD.99.083005; Slatyer TR, 2017, PHYS REV D, V95, DOI 10.1103/PhysRevD.95.023010; Slatyer TR, 2016, PHYS REV D, V93, DOI 10.1103/PhysRevD.93.023527; Strigari LE, 2013, PHYS REP, V531, P1, DOI 10.1016/j.physrep.2013.05.004; Undagoitia TM, 2016, J PHYS G NUCL PARTIC, V43, DOI 10.1088/0954-3899/43/1/013001</t>
  </si>
  <si>
    <t>OXFORD UNIV PRESS INC</t>
  </si>
  <si>
    <t>CARY</t>
  </si>
  <si>
    <t>JOURNALS DEPT, 2001 EVANS RD, CARY, NC 27513 USA</t>
  </si>
  <si>
    <t>2050-3911</t>
  </si>
  <si>
    <t>PROG THEOR EXP PHYS</t>
  </si>
  <si>
    <t>Prog. Theor. Exp. Phys.</t>
  </si>
  <si>
    <t>JAN 19</t>
  </si>
  <si>
    <t>013F01</t>
  </si>
  <si>
    <t>10.1093/ptep/ptab139</t>
  </si>
  <si>
    <t>Physics, Multidisciplinary; Physics, Particles &amp; Fields</t>
  </si>
  <si>
    <t>YW7GP</t>
  </si>
  <si>
    <t>WOS:000753583700003</t>
  </si>
  <si>
    <t>Abreu, E; De la Cruz, R; Juajibioy, JC; Lambert, W</t>
  </si>
  <si>
    <t>Abreu, E.; De la Cruz, R.; Juajibioy, J. C.; Lambert, W.</t>
  </si>
  <si>
    <t>Lagrangian-Eulerian Approach for Nonlocal Conservation Laws</t>
  </si>
  <si>
    <t>JOURNAL OF DYNAMICS AND DIFFERENTIAL EQUATIONS</t>
  </si>
  <si>
    <t>Nonlocal conservation laws; Lagrangian-Eulerian approach; No-flow curves; Kruzhkov entropy solution; Applications</t>
  </si>
  <si>
    <t>TRAFFIC FLOW; BALANCE LAWS; TRANSPORT; UNIQUENESS; EXISTENCE; SCHEMES; MODELS; REGULARITY; EQUATIONS; SYSTEMS</t>
  </si>
  <si>
    <t>In this work, we construct and analyze a new fully discrete Lagrangian-Eulerian numerical method for the treatment of dynamics of conservation laws with nonlocal flux and influence of the source term in the solution. The scheme is based on the improved concept of no-flow curves. We use the recent results of S. Blandin &amp; P. Goatin (2016), [Numer. Math. 132, 217-241], to obtain a B V estimate for the new fully discrete (explicit) Lagrangian-Eulerian scheme with a rigorous analysis to prove its convergence for the entropic solution. We also derive a weak CFL-type stability condition that does not require the derivative of the nonlocal flux as is the case for classical schemes. As an application of the proposed approach, we present a combined analytical-numerical study on the interplay between local and nonlocal conservation laws motivated by dynamics of differential equations such as traffic flow and related problems. For a suitable exponential kernel omega(n) of class C-2, we present theoretical and numerical evidence that the limit of solutions to the nonlocal equation coincides with the unique entropy-admissible solution of the scalar conservation law p(t )+ (rho(m) v(q))(x) = 0. It should be emphasized that hypotheses on the solution were verified numerically only. In this regard, the flux function f (rho) = rho(m) v(q) satisfies q(x, t) = f(x)(x+eta) omega(n)(x - y)rho(y, t)dy, for an integer 1 &lt;= m, where omega(n) is unitary (integral equals to 1) and non-increasing kernel such that omega(n) (s) = 1/(1-e(-1)/eta(2))eta(2)e(-s/eta 2) for every s is an element of R. It turns out that we also use recent results of A. Bressan &amp; W. Shen (2020), [Arch. Rational Mech. Anal., 237, 1213-1236] and A. Bressan &amp; W. Shen (2021), [Communications in Mathematical Sciences 19(5) 1447 - 1450], as foundations of the Lagrangian-Eulerian approach for nonlocal conservation laws.</t>
  </si>
  <si>
    <t>[Abreu, E.] Univ Estadual Campinas, Dept Appl Math, Campinas, SP, Brazil; [De la Cruz, R.; Juajibioy, J. C.] Univ Pedag &amp; Tecnol Colombia, Escuela Matemat &amp; Estadist, Boyaca, Colombia; [Lambert, W.] UNTFAL, Campus Avancado Pocos de Caldas, Wanderson ICT, Rodovia Jose Aurelio Vilela,11999,Cidade Univ, Pocos De Caldas, Brazil</t>
  </si>
  <si>
    <t>Universidade Estadual de Campinas; Universidad Pedagogica y Tecnologica de Colombia (UPTC)</t>
  </si>
  <si>
    <t>Abreu, E (corresponding author), Univ Estadual Campinas, Dept Appl Math, Campinas, SP, Brazil.</t>
  </si>
  <si>
    <t>eabreu@ime.unicamp.br; richard.delacruz@uptc.edu.co; juan.juajibioyo@uptc.edu.co; rwanderson.lambert@unifal-mg.edu.br</t>
  </si>
  <si>
    <t>Abreu, Everton/HIK-3111-2022</t>
  </si>
  <si>
    <t>Abreu, Eduardo/0000-0003-1979-3082</t>
  </si>
  <si>
    <t>FAPESP [2019/20991-8]; CNPq [306385/2019-8]; PETROBRAS [2015/00398-0]</t>
  </si>
  <si>
    <t>FAPESP(Fundacao de Amparo a Pesquisa do Estado de Sao Paulo (FAPESP)); CNPq(Conselho Nacional de Desenvolvimento Cientifico e Tecnologico (CNPQ)); PETROBRAS(Fundacao de Amparo a Pesquisa do Amapa (FAPEAP)Petrobras)</t>
  </si>
  <si>
    <t>E. Abreu acknowledges the support from FAPESP (Grant 2019/20991-8) and CNPq (Grant 306385/2019-8) and PETROBRAS (Grant 2015/00398-0).</t>
  </si>
  <si>
    <t>Abreu E, 2022, NONLINEARITY, V35, P1734, DOI 10.1088/1361-6544/ac5097; Abreu E, 2021, J SCI COMPUT, V86, DOI 10.1007/s10915-020-01392-w; Abreu E, 2017, MATH COMPUT SIMULAT, V137, P2, DOI 10.1016/j.matcom.2016.12.012; Abreu E., 2018, HYPERBOLIC PROBLEMS, P223; Abreu E, 2022, J COMPUT APPL MATH, V406, DOI 10.1016/j.cam.2021.114011; Abreu E, 2022, J SCI COMPUT, V90, DOI 10.1007/s10915-021-01712-8; Abreu E, 2020, MULTISCALE MODEL SIM, V18, P1375, DOI 10.1137/20M1320250; Abreu E, 2019, COMPUT MATH APPL, V77, P2310, DOI 10.1016/j.camwa.2018.12.019; Abreu E, 2017, Z ANGEW MATH PHYS, V68, DOI 10.1007/s00033-017-0877-6; Abreu E, 2016, J MATH ANAL APPL, V444, P1203, DOI 10.1016/j.jmaa.2016.06.047; Aggarwal A, 2015, SIAM J NUMER ANAL, V53, P963, DOI 10.1137/140975255; Amadori D, 2012, J HYPERBOL DIFFER EQ, V9, P105, DOI 10.1142/S0219891612500038; Amorim P, 2015, ESAIM-MATH MODEL NUM, V49, P19, DOI 10.1051/m2an/2014023; Aquino J, 2010, PROG NUCL ENERG, V52, P282, DOI 10.1016/j.pnucene.2009.06.018; Betancourt F, 2011, NONLINEARITY, V24, P855, DOI 10.1088/0951-7715/24/3/008; Blandin S, 2016, NUMER MATH, V132, P217, DOI 10.1007/s00211-015-0717-6; Bressan A., 2000, OXFORD LECT SERIES M, V20; Bressan A, 2021, COMMUN MATH SCI, V19, P1447; Bressan A, 2020, ARCH RATION MECH AN, V237, P1213, DOI 10.1007/s00205-020-01529-z; Chalons C, 2018, SIAM J SCI COMPUT, V40, pA288, DOI 10.1137/16M110825X; Chiarello FA, 2020, COMPUT APPL MATH, V39, DOI 10.1007/s40314-020-1097-9; Chiarello FA, 2019, NONLINEAR ANAL-REAL, V45, P668, DOI 10.1016/j.nonrwa.2018.07.027; Coclite G.M., ARXIV; Colombo M, 2019, ARCH RATION MECH AN, V233, P1131, DOI 10.1007/s00205-019-01375-8; Colombo RM, 2012, MATH MOD METH APPL S, V22, DOI 10.1142/S0218202511500230; Colombo RM, 2012, ACTA MATH SCI, V32, P177, DOI 10.1016/S0252-9602(12)60011-3; Colombo RM, 2011, ESAIM CONTR OPTIM CA, V17, P353, DOI 10.1051/cocv/2010007; Crippa G, 2013, NODEA-NONLINEAR DIFF, V20, P523, DOI 10.1007/s00030-012-0164-3; De Lellis C, 2004, Q APPL MATH, V62, P687, DOI 10.1090/qam/2104269; Douglas J, 2000, COMPUTAT GEOSCI, V4, P1, DOI 10.1023/A:1011551614492; Douglas J, 2000, LECT NOTES PHYS, V552, P138; Douglas J, 2001, BIT, V41, P480, DOI 10.1023/A:1021963011595; Evans LC., 2010, PARTIAL DIFFERENTIAL, V1194; Francois J.R., 2021, THESIS U CAMPINAS UN; Friedrich J, 2018, NETW HETEROG MEDIA, V13, P531, DOI 10.3934/nhm.2018024; HARTEN A, 1983, J COMPUT PHYS, V49, P357, DOI 10.1016/0021-9991(83)90136-5; Huang CS, 2016, J COMPUT PHYS, V322, P559, DOI 10.1016/j.jcp.2016.06.027; Keimer A, 2019, J MATH ANAL APPL, V475, P1927, DOI 10.1016/j.jmaa.2019.03.063; Keimer A, 2018, SIAM J MATH ANAL, V50, P6271, DOI 10.1137/18M119817X; Keimer A, 2018, J MATH ANAL APPL, V466, P18, DOI 10.1016/j.jmaa.2018.05.013; Keimer A, 2017, J DIFFER EQUATIONS, V263, P4023, DOI 10.1016/j.jde.2017.05.015; LIGHTHILL MJ, 1955, PROC R SOC LON SER-A, V229, P317, DOI 10.1098/rspa.1955.0089; Liu X.D., 1996, J COMPUT FLUID DYNAM, V5, P133; Liu XD, 2003, J COMPUT PHYS, V187, P428, DOI 10.1016/S0021-9991(03)00100-1; Neuman SP, 2009, ADV WATER RESOUR, V32, P670, DOI 10.1016/j.advwatres.2008.08.005; PANOV EY, 1994, MATH NOTES+, V55, P517, DOI 10.1007/BF02110380; Perez J., 2015, THESIS U CAMPINAS UN; Pflug L., 2018, THESIS FRIEDRICH ALE; Piccoli B, 2013, ACTA APPL MATH, V124, P73, DOI 10.1007/s10440-012-9771-6; Piccoli B, 2011, ARCH RATION MECH AN, V199, P707, DOI 10.1007/s00205-010-0366-y; RICHARDS PI, 1956, OPER RES, V4, P42, DOI 10.1287/opre.4.1.42; Santo A.M.E., 2017, THESIS U CAMPINAS UN; Silvestre L, 2016, T AM MATH SOC, V368, P6159, DOI 10.1090/tran6651</t>
  </si>
  <si>
    <t>1040-7294</t>
  </si>
  <si>
    <t>1572-9222</t>
  </si>
  <si>
    <t>J DYN DIFFER EQU</t>
  </si>
  <si>
    <t>J. Dyn. Differ. Equ.</t>
  </si>
  <si>
    <t>2022 JUL 25</t>
  </si>
  <si>
    <t>10.1007/s10884-022-10193-8</t>
  </si>
  <si>
    <t>3E0MT</t>
  </si>
  <si>
    <t>WOS:000829687200002</t>
  </si>
  <si>
    <t>Gaona, IMS; Munevar, J; Vargas, CAP</t>
  </si>
  <si>
    <t>Saavedra Gaona, I. M.; Munevar, J.; Parra Vargas, C. A.</t>
  </si>
  <si>
    <t>Evaluation of rare earth substitution in the structural and magnetic properties of the REBa1-xSrxCuFeO5 (x =0.0, 0.25 and 0.5) system</t>
  </si>
  <si>
    <t>MATERIALS SCIENCE AND ENGINEERING B-ADVANCED FUNCTIONAL SOLID-STATE MATERIALS</t>
  </si>
  <si>
    <t>Solid-state; Multiferroic; XRD; SEM; VSM</t>
  </si>
  <si>
    <t>PEROVSKITE; OXIDE</t>
  </si>
  <si>
    <t>YBaCuFeO5 double perovskite has received attention because it is one of the few materials with the possibility to be multiferroic at room temperature. It is possible to explore such properties by partially replacing yttrium (Y) with rare earth elements (RE) or varying the chemical pressure of the system by replacing Ba with Sr. The synthesis and characterization of the new materials with the formula REBa1-xSrxCuFeO5, using the solid-state reaction method is reported. The results show that RE substitution allows the growth of single-phase materials, with tetragonal structure and symmetry P4mm. The morphological results evidence a consistent morphology by using the synthesis method. The magnetization curves in a temperature range of 50 to 380 K show, for the RE = Y system, a magnetic phase transitions at high temperature (&lt;250 K). However, no magnetic transition was observed for compounds doped with RE = Ho, Dy, and Gd.</t>
  </si>
  <si>
    <t>[Saavedra Gaona, I. M.] Univ Pedag &amp; Tecnol Colombia, Grp Fis Mat, Ave Cent Norte 39-115, Tunja 150003, Boyaca, Colombia; [Munevar, J.; Parra Vargas, C. A.] Univ Fed ABC UFABC, Ctr Ciencias Nat &amp; Humans CCNH, BR-09210580 Santo Andre, SP, Brazil</t>
  </si>
  <si>
    <t>Gaona, IMS (corresponding author), Univ Pedag &amp; Tecnol Colombia, Grp Fis Mat, Ave Cent Norte 39-115, Tunja 150003, Boyaca, Colombia.</t>
  </si>
  <si>
    <t>indry.saavedra@uptc.edu.co; julian.munevar@ufabc.edu.br; carlos.parra@uptc.edu.co</t>
  </si>
  <si>
    <t>CAIGNAERT V, 1995, J SOLID STATE CHEM, V114, P24, DOI 10.1006/jssc.1995.1004; Chapman JP, 1996, ANGEW CHEM INT EDIT, V35, P2482, DOI 10.1002/anie.199624821; Cheong SW, 2007, NAT MATER, V6, P13, DOI 10.1038/nmat1804; Cuervo Farfan J.A., U NACL COLOMBIA; Dey D., 2017, ARXIV PREPRINT; Dey D, 2018, SCI REP-UK, V8, DOI 10.1038/s41598-018-20774-7; ERRAKHO L, 1988, J SOLID STATE CHEM, V73, P531, DOI 10.1016/0022-4596(88)90141-7; Farfan JAC, 2021, J LOW TEMP PHYS, V202, P128, DOI 10.1007/s10909-020-02529-9; Gaona IMS, 2021, CERAM INT, V47, P9984, DOI 10.1016/j.ceramint.2020.12.144; Kimura T, 2003, NATURE, V426, P55, DOI 10.1038/nature02018; Kundys B, 2009, APPL PHYS LETT, V94, DOI 10.1063/1.3086309; Lal Surender C.S., 2019, J APPL PHYS, V126; Lebeugle D, 2007, APPL PHYS LETT, V91, DOI 10.1063/1.2753390; Liang XF, 2021, IEEE T MAGN, V57, DOI 10.1109/TMAG.2021.3086635; Ling YH, 2010, J ALLOY COMPD, V493, P252, DOI 10.1016/j.jallcom.2009.12.072; Luo ZP, 2007, J MICROSC-OXFORD, V225, P118, DOI 10.1111/j.1365-2818.2007.01722.x; Morin M, 2015, PHYS REV B, V91, DOI 10.1103/PhysRevB.91.064408; Morin M, 2016, NAT COMMUN, V7, DOI 10.1038/ncomms13758; Mu S, 2013, PHYS REV B, V87, DOI 10.1103/PhysRevB.87.054435; Pabst GW, 2007, APPL PHYS LETT, V90, DOI 10.1063/1.2535663; PISSAS M, 1992, PHYSICA C, V192, P35, DOI 10.1016/0921-4534(92)90740-4; Pissas M, 2017, J MAGN MAGN MATER, V432, P224, DOI 10.1016/j.jmmm.2017.01.083; Pullar RC, 2012, PROG MATER SCI, V57, P1191, DOI 10.1016/j.pmatsci.2012.04.001; Rentschler T, 1996, THERMOCHIM ACTA, V284, P367, DOI 10.1016/0040-6031(95)02800-5; Routray K.L, 2015, ORISSA J PHYS, V22, P197; Scaramucci A, 2020, PHYS REV RES, V2, DOI 10.1103/PhysRevResearch.2.013273; Scaramucci A, 2018, PHYS REV X, V8, DOI 10.1103/PhysRevX.8.011005; Shang T, 2018, SCI ADV, V4, DOI 10.1126/sciadv.aau6386; Shannon R. D., 1976, ACTA CRYSTALLOGR, DOI DOI 10.1107/S0567739476001551; Suematsu H, 2004, J SOLID STATE CHEM, V177, P1958, DOI 10.1016/j.jssc.2004.01.006; Suescun L, 2005, PHYS REV B, V71, DOI 10.1103/PhysRevB.71.144405; Surender K. Lal, 2018, SOLID STATE COMMUN, V270, P130; Surender L, 2019, PHYSICA B, V570, P191; Surender L., 2019, PHYSICA B, V570, P35; Surender L, 2017, EUROPHYSICS LETT, V117, P67006; Toby BH, 2001, J APPL CRYSTALLOGR, V34, P210, DOI 10.1107/S0021889801002242; Zak AK, 2011, SOLID STATE SCI, V13, P251, DOI 10.1016/j.solidstatesciences.2010.11.024; Zhang X., 2021, ACTA MATER, P206; Zhou QJ, 2009, ELECTROCHEM COMMUN, V11, P80, DOI 10.1016/j.elecom.2008.10.035; ZHOU WZ, 1994, CHEM MATER, V6, P441, DOI 10.1021/cm00040a018</t>
  </si>
  <si>
    <t>0921-5107</t>
  </si>
  <si>
    <t>1873-4944</t>
  </si>
  <si>
    <t>MATER SCI ENG B-ADV</t>
  </si>
  <si>
    <t>Mater. Sci. Eng. B-Adv. Funct. Solid-State Mater.</t>
  </si>
  <si>
    <t>10.1016/j.mseb.2022.115719</t>
  </si>
  <si>
    <t>Materials Science, Multidisciplinary; Physics, Condensed Matter</t>
  </si>
  <si>
    <t>1X3TU</t>
  </si>
  <si>
    <t>WOS:000807381000001</t>
  </si>
  <si>
    <t>Jimenez-Martinez, MC; Latorre-Velasquez, DC; Ramirez-Roncancio, NL; Gonzalez-Valencia, G</t>
  </si>
  <si>
    <t>Cecilia Jimenez-Martinez, Martha; Carolina Latorre-Velasquez, Diana; Lizeth Ramirez-Roncancio, Nancy; Gonzalez-Valencia, Guadalupe</t>
  </si>
  <si>
    <t>Perception of diet, health habits, personal agency during COVID-19</t>
  </si>
  <si>
    <t>DUAZARY</t>
  </si>
  <si>
    <t>Diet; Physical activity; Eating habit; Colombia; COVID-19</t>
  </si>
  <si>
    <t>PHYSICAL-ACTIVITY</t>
  </si>
  <si>
    <t>Analyzing the effect of the variables Eating Habits, Emotional Condition and Physical Activity (PA) Agency on Diet Perception and PA Time, in Colombian university students under COVID-19 confinement conditions. Preliminary correlational research was conducted through a comparative survey with both exploratory and explanatory scope. It was applied to 389 students who voluntarily completed the instrument on a Google Form. The structural model explains respectively 38% and 53% of the variability of the students' diet perception and PA time. The model shows both statistical (chi(2) = 84 [47 gl p = 0,09]) and practical (IBBAN = 96; IBBANN = 99; IAC = 0,99 and RMSEA = 0,02 [0,00, 0,04]) goodness of fit. Hence, it can be stated that this inclusive model has the same explanatory power as the saturated one, which relates all variables to each other. Eating habits and intention were found to have a direct effect on the university students' diet perception. Just as well, eating habits, intention and diet perception were observed to increase PA time.</t>
  </si>
  <si>
    <t>[Cecilia Jimenez-Martinez, Martha; Carolina Latorre-Velasquez, Diana; Lizeth Ramirez-Roncancio, Nancy] Univ Pedag &amp; Tecnol Colombia, Tunja, Colombia; [Gonzalez-Valencia, Guadalupe] Univ Autonoma Baja California, Mexicali, Baja California, Mexico</t>
  </si>
  <si>
    <t>Universidad Pedagogica y Tecnologica de Colombia (UPTC); Universidad Autonoma de Baja California</t>
  </si>
  <si>
    <t>Jimenez-Martinez, MC (corresponding author), Univ Pedag &amp; Tecnol Colombia, Tunja, Colombia.</t>
  </si>
  <si>
    <t>martha.jimenez@uptc.edu.co; diana.latorre@uptc.edu.co; nancylizeth.ramirez@uptc.edu.co; dgonzalez18@uabc.edu.mx</t>
  </si>
  <si>
    <t>Ammar A, 2020, NUTRIENTS, V12, DOI 10.3390/nu12061583; Sanchez-Ojeda MA, 2015, NUTR HOSP, V31, P1910, DOI 10.3305/nh.2015.31.5.8608; [Anonymous], 2015, AUST J EMERG MANAG, V30, P9; Avendano Soto HA., 2021, DESERCION UNIVERSITA; Bandura Albert., 2003, ENTERTAINMENT ED SOC, P97, DOI DOI 10.4324/9781410609595-11; Blaszczyk-Bebenek E, 2020, NUTRIENTS, V12, DOI 10.3390/nu12103084; Castro MP, 2008, THESIS U CORUNA; Flueckiger L, 2016, EMOTION, V16, P488, DOI 10.1037/emo0000143; Fuentes Vega M, 2018, DOCUMENTOS TRABAJO S, P351; Gujral S, 2017, GEN HOSP PSYCHIAT, V49, P2, DOI 10.1016/j.genhosppsych.2017.04.012; Gutierrez-Ruiz K., INFORM PSICOLOGICOS, V15, P63; Hardman R, 2020, BMC HEALTH SERV RES, V20, DOI 10.1186/s12913-020-5010-4; Hernandez-Sampieri R., 2014, METODOLOGIA INVESTIG; Hogan CL, 2015, PSYCHOL HEALTH, V30, P354, DOI 10.1080/08870446.2014.973410; Johansson M., 2011, SPORT EXERC PERFORM, V1, P60, DOI [10.1037/2157-3905.1.S.6010.1037/2157-3905.1.S.60, DOI 10.1037/2157-3905.1.S.60]; Kiecolt-Glaser JK, 2014, J CLIN ONCOL, V32, P1040, DOI 10.1200/JCO.2013.51.8860; Lucini D., 2020, ACTA BIOMED ATENEI P, V91, DOI [10.23750/abm.v91i3.10375, DOI 10.23750/ABM.V91I3.10375]; Maytorena Noriega María de los Ángeles, 2020, Psicumex, V10, P39, DOI 10.36793/psicumex.v10i1.338; Nuviala AN, 2010, PENSAR MOV, V8, P34; Oliveros Fortiche DE, 2020, THESIS U AUTONOMA BA; Organizacion Mundial de la Salud, 2020, ESTR MUND REG AL ACT; Perez-Rodrigo C., 2020, REV ESP NUTR COMUNIT, V26, P101, DOI [10.14642/RENC.2020.26.2.5213, 10.14642/RENC.2020.26.2.5213., DOI 10.14642/RENC.2020.26.2.5213]; Puterman E, 2017, HEALTH PSYCHOL, V36, P1186, DOI 10.1037/hea0000532; Rodriguez-Nunez I, REV CHILENA PEDIATRI, V91, P304; Ruiz-Roso MB, 2020, NUTRIENTS, V12, DOI 10.3390/nu12082289; Schwarzer R, 2009, REV COSTARRIC PSICOL, V28, P11; Thogersen-Ntoumani C, 2015, SCAND J MED SCI SPOR, V25, P778, DOI 10.1111/sms.12398; Zupo R, 2020, INT J ENV RES PUB HE, V17, DOI 10.3390/ijerph17197073</t>
  </si>
  <si>
    <t>1794-5992</t>
  </si>
  <si>
    <t>2389-783X</t>
  </si>
  <si>
    <t>Duazary</t>
  </si>
  <si>
    <t>10.21676/2389783X.4690</t>
  </si>
  <si>
    <t>Medicine, General &amp; Internal</t>
  </si>
  <si>
    <t>General &amp; Internal Medicine</t>
  </si>
  <si>
    <t>3D2XL</t>
  </si>
  <si>
    <t>WOS:000829170900004</t>
  </si>
  <si>
    <t>Soler, RNC; Torres, AMG; Dotor, RMP</t>
  </si>
  <si>
    <t>Soler, Ruth Nayibe Cardenas; Torres, Adriana Marien Gutierrez; Dotor, Rosa Maria Palencia</t>
  </si>
  <si>
    <t>The documentary music archive: subjectivities and contributions to the cultural subject</t>
  </si>
  <si>
    <t>cultural subject; music archive; musical scores; symphonic band; formative research</t>
  </si>
  <si>
    <t>This article arises from a research project aimed at recovering the documentary material-musical scores-used by the Boyaca Wind Symphony Orchestra, whose origin dates back to the end of the 19th century. The group has undergone several transitions in terms of function and organizational affiliation. In 2004 there was an internal restructuring that triggered the beginning of its decline. The study was qualitative-descriptive, with a historical-hermeneutic approach. It was divided into the following phases: (1) diagnosis, (2) classification, characterization, and assessment, (3) organization of the documentary archive, and (4) cataloguing. As a result, a catalog of 328 composers and 757 works was compiled, organized according to archival criteria and ready to be transferred to a documentary fund in charge of preserving its contents. In addition, due to the historical void and the limited state of the art to contextualize the documentary archive, several approaches were made to the orchestra and its history that allowed the initiation of four more research studies. The importance of this work lies in the recognition, treatment, and significance of the cultural value of a musical archive and the cultural subject from which it originates: the symphonic band.</t>
  </si>
  <si>
    <t>[Soler, Ruth Nayibe Cardenas; Torres, Adriana Marien Gutierrez] Univ Pedag &amp; Tecnol Colombia, Tunja, Colombia; [Dotor, Rosa Maria Palencia] Inst Educ Tecn Chicamocha, Chicamocha, Colombia</t>
  </si>
  <si>
    <t>Soler, RNC (corresponding author), Univ Pedag &amp; Tecnol Colombia, Tunja, Colombia.</t>
  </si>
  <si>
    <t>Acuña Rodríguez Olga Yanet, 2020, Hist.mem., P11, DOI 10.19053/20275137.n20.2020.10311; Adorno T. W., 2006, ESCRITOS MUSICALES I, P503; Aharonian C, 2000, 3 C LAT AS INT EST M, P6; Arenas E, 2015, RICERCARE, P27, DOI [10.17230/ricercare.2015.4.3, DOI 10.17230/RICERCARE.2015.4.3]; Biblioteca Nacional de Colombia, 2020, GUIA DIG PRES DIG BI; Biblioteca Nacional de Colombia, 2019, POL GEST PATR BIBLO; Cabezas Bolaños Esteban, 2005, Inf. cult. soc., P81; Carbonell J, 2015, PEDAGOGIAS SIGLO; Cárdenas-Soler Ruth Nayibe, 2017, Cuad. linguist. hisp., P181, DOI 10.19053/0121053x.n29.2017.5859; Casas A, 2008, CULT EDUC, V20, P49, DOI 10.1174/113564008783781503; Dros E, 2003, SUJETO CULTURAL SOCI; EAFIT, 2009, BUSC PART PERD; Freire EEE, 2020, REV CONRADO, V16, P45; Fuster-Ruiz F, 1999, AN DOC, P103; Hernandez V., 2009, REV DIGITAL UNIV, V10, P1; Jaen L, 1998, REV ARCHIVO NACL, P11; Mandolini R, 2016, REV INVESTIGACIONES, P27; Palencia R, 2016, HIST ESCUELA SUPERIO; Pinilla Díaz Alexis V, 2011, Folios, P15; QUEVEDO URREA JAIME HUMBERTO, 2011, Signo pensam., V30, P146; Reyes Gallegos Artemisa M., 2016, Investig. bibl, V30, P129, DOI 10.1016/j.ibbai.2016.10.007; Rio del Berta., 2019, REV DIGITAL MUSICOLO, P1; SAMPER ARBELAEZ Andres, 2016, CUAD MUSIC ARTES ESC, V11, P9; Sarmiento M., 2016, ENSAYOS HIST TEORIA, V20, P65; Valencia Victoriano, 2017, Pensam. palabra obra, P101; Vieira M., 2009, AZAFEA REV FILOSOFIA, V11, P143; Villalba Cuéllar Juan Carlos, 2017, Prolegómenos, V20, P9</t>
  </si>
  <si>
    <t>e12522</t>
  </si>
  <si>
    <t>10.19053/22160159.v13.n32.2022.12522</t>
  </si>
  <si>
    <t>YD8AM</t>
  </si>
  <si>
    <t>WOS:000740658300008</t>
  </si>
  <si>
    <t>Sajjad, M; Shah, TR; Serna, RJ; Aguilar, ZES; Delgado, OS</t>
  </si>
  <si>
    <t>Sajjad, Muhammad; Shah, Tariq; Serna, Robinson-Julian; Suarez Aguilar, Zagalo Enrique; Sepulveda Delgado, Omaida</t>
  </si>
  <si>
    <t>Fundamental Results of Cyclic Codes over Octonion Integers and Their Decoding Algorithm</t>
  </si>
  <si>
    <t>octonion integers; octonion Mannheim distance; cyclic codes; encoding; syndromes decoding</t>
  </si>
  <si>
    <t>Coding theory is the study of the properties of codes and their respective fitness for specific applications. Codes are used for data compression, cryptography, error detection, error correction, data transmission, and data storage. Codes are studied by various scientific disciplines, such as information theory, electrical engineering, mathematics, linguistics, and computer science, to design efficient and reliable data transmission methods. Many authors in the previous literature have discussed codes over finite fields, Gaussian integers, quaternion integers, etc. In this article, the author defines octonion integers, fundamental theorems related to octonion integers, encoding, and decoding of cyclic codes over the residue class of octonion integers with respect to the octonion Mannheim weight one. The comparison of primes, lengths, cardinality, dimension, and code rate with respect to Quaternion Integers and Octonion Integers will be discussed.</t>
  </si>
  <si>
    <t>[Sajjad, Muhammad; Shah, Tariq] Quaid I Azam Univ, Dept Math, Islamabad 45320, Pakistan; [Serna, Robinson-Julian; Suarez Aguilar, Zagalo Enrique; Sepulveda Delgado, Omaida] Univ Pedag &amp; Tecnol Colombia, Escuela Matemat &amp; Estadist, Ave Cent Norte 39-115, Tunja 150003, Colombia</t>
  </si>
  <si>
    <t>Quaid I Azam University; Universidad Pedagogica y Tecnologica de Colombia (UPTC)</t>
  </si>
  <si>
    <t>Sajjad, M (corresponding author), Quaid I Azam Univ, Dept Math, Islamabad 45320, Pakistan.</t>
  </si>
  <si>
    <t>m.sajjad@math.qau.edu.pk</t>
  </si>
  <si>
    <t>Serna, Robinson/0000-0001-5858-5011; Sajjad, Muhammad/0000-0003-0006-1156</t>
  </si>
  <si>
    <t>Farhad G., 2010, P 18 TELECOMMUNICATI; Giuliana D., 2003, ELEMENTARY NUMBER TH; Sarabia MG, 2013, AN STI U OVID CO-MAT, V21, P241, DOI 10.2478/auom-2013-0056; Guzeltepe M, 2014, MATH COMMUN, V19, P253; Guzeltepe M, 2013, DISCRETE MATH, V313, P704, DOI 10.1016/j.disc.2012.10.020; HUBER K, 1994, IEEE T INFORM THEORY, V40, P207, DOI 10.1109/18.272484; Kostadinov H, 2010, IEICE T FUND ELECTR, VE93A, P1363, DOI 10.1587/transfun.E93.A.1363; Morita H., 2004, P INT S INFORM THEOR; Muhammad S., 2022, COMPUT MAT CONTIN, V74, P1; Murat G., 2009, ARXIV; Neto TPD, 2001, IEEE T INFORM THEORY, V47, P1514, DOI 10.1109/18.923731; Nishimura S, 2008, DISCRETE APPL MATH, V156, P588, DOI 10.1016/j.dam.2007.07.006; Ozen M, 2010, EUR J PURE APPL MATH, V3, P670; Ozen M, 2011, J FRANKLIN I, V348, P1312, DOI 10.1016/j.jfranklin.2010.02.008; RIFA J, 1995, IEEE T INFORM THEORY, V41, P1512, DOI 10.1109/18.412699; Sajjad M, 2022, CMC-COMPUT MATER CON, V73, P1177, DOI 10.32604/cmc.2022.025245; Shah T, 2013, APPL ALGEBR ENG COMM, V24, P477, DOI 10.1007/s00200-013-0203-2; Shah T, 2011, COMPUT MATH APPL, V62, P1645, DOI 10.1016/j.camwa.2011.05.056</t>
  </si>
  <si>
    <t>10.3390/computation10120219</t>
  </si>
  <si>
    <t>7D7NC</t>
  </si>
  <si>
    <t>WOS:000900671200001</t>
  </si>
  <si>
    <t>Blanco-Zuniga, CR; Useche-de-Vega, DS; Rojas-Arias, N</t>
  </si>
  <si>
    <t>Rene Blanco-Zuniga, Cesar; Soraya Useche-de-Vega, Dalia; Rojas-Arias, Nicolas</t>
  </si>
  <si>
    <t>Effect of the Power and Number of Paddles of a Rotatory Aerator on Dissolved Oxygen Transfer in Water</t>
  </si>
  <si>
    <t>INGENIERIA</t>
  </si>
  <si>
    <t>mechanical aerator; dissolved oxygen (DO); paddle wheel number; Standard Aeration Efficiency (SAE); Standard Oxygen Transfer (SOTR)</t>
  </si>
  <si>
    <t>TEMPERATURE</t>
  </si>
  <si>
    <t>Context: Dissolved oxygen (DO) transfer is an important matter for water quality. Several devices have been designed to supply the required DO in some bodies of water during their treatment and restoration. However, these entail a high energy consumption, thus requiring the optimization of use parameters. Method: This work studies the effect of the power and number of paddles used in a horizontal axis aerator. Measurements were made on anoxic water samples using three mechanical aerating devices made up of 6, 12, and 24 paddles while varying the rotation speed from the supplied voltage. Results: The highest values obtained for the transfer coefficient K L a are reported by devices with a greater number of blades. Nevertheless, the Standard Aeration Efficiency (SAE) and the Standard Oxygen Transfer Rate (SOTR) efficiency reveal that the 6-paddle wheels are more energy-efficient. Conclusions: It is shown that DO transfer does not depend solely on the impacts associated with the number of paddles, and that the maximum transfer efficiency is obtained with a lower number of paddles. These results contribute to improving the understanding of the operation of these mechanical systems in terms of DO transfer.</t>
  </si>
  <si>
    <t>[Rene Blanco-Zuniga, Cesar] Univ Pedag &amp; Tecnol Colombia, Escuela Ingn Ambiental, Tunja, Colombia; [Rojas-Arias, Nicolas] Univ Pedag &amp; Tecnol Colombia, Tunja, Colombia; [Soraya Useche-de-Vega, Dalia; Rojas-Arias, Nicolas] Univ Fed Sao Carlos, Programa Posgrad Ciencia &amp; Engn Mat, Sao Carlos, Brazil</t>
  </si>
  <si>
    <t>Universidad Pedagogica y Tecnologica de Colombia (UPTC); Universidad Pedagogica y Tecnologica de Colombia (UPTC); Universidade Federal de Sao Carlos</t>
  </si>
  <si>
    <t>Blanco-Zuniga, CR (corresponding author), Univ Pedag &amp; Tecnol Colombia, Escuela Ingn Ambiental, Tunja, Colombia.</t>
  </si>
  <si>
    <t>cesar.blanco@uptc.edu.co; dalia.useche@uptc.edu.co; nicolas.rojas@estudante.ufscar.br</t>
  </si>
  <si>
    <t>Rojas, Nicolas/0000-0003-3358-2484; Blanco Zuniga, Cesar Rene/0000-0002-9181-4944</t>
  </si>
  <si>
    <t>Abdelrahman HA, 2018, AQUAC RES, V49, P2184, DOI 10.1111/are.13674; Alonso-Rodriguez R, 2003, AQUACULTURE, V219, P317, DOI 10.1016/S0044-8486(02)00509-4; American Society of Civil Engineers, 2007, 206 ASCE, V5, P8; Australian Academy of Science, 2019, INV CAUS MASS FISH K, P2; Bahadori A, 2010, PROCESS SAF ENVIRON, V88, P335, DOI 10.1016/j.psep.2010.05.002; Bahri S., 2015, INT J ENG SCI, V6, P812; Bahri S., 2015, INT J ENG RES TECHNO, V4, P994; Bahri S, 2019, IOP C SER EARTH ENV, V268, DOI 10.1088/1755-1315/268/1/012162; Barreto CM, 2018, J ENVIRON MANAGE, V219, P125, DOI 10.1016/j.jenvman.2018.04.035; Blanco-Zuñiga Cesar Rene, 2021, ing., V26, P5, DOI 10.14483/23448393.15846; BOYD CE, 1984, AQUACULTURE, V36, P283, DOI 10.1016/0044-8486(84)90243-6; Colt J., 1991, AQUACULTURE WATER QU, V3, P3; Daw J., 2012, NRELTP7A3053341, P10; DeMoyer CD, 2003, WATER RES, V37, P1890, DOI 10.1016/S0043-1354(02)00566-3; Du YS, 2020, AQUACULT ENG, V89, DOI 10.1016/j.aquaeng.2020.102060; Itano T, 2019, AQUACULT ENG, V85, P106, DOI 10.1016/j.aquaeng.2019.03.006; Kumar A, 2013, AQUACULT ENG, V56, P71, DOI 10.1016/j.aquaeng.2013.05.003; Kumar G, 2018, J WORLD AQUACULT SOC, V49, P1039, DOI 10.1111/jwas.12555; Lawson T. B., 1995, FUNDAMENTALS AQUACUL, P3; Lewis WK, 1924, IND ENG CHEM, V16, P1215, DOI 10.1021/ie50180a002; Dien LD, 2019, AQUACULTURE, V512, DOI 10.1016/j.aquaculture.2019.734315; McGill BM, 2019, HYDROGEOL J, V27, P997, DOI 10.1007/s10040-018-1901-4; Nicholls KH, 1999, J GREAT LAKES RES, V25, P250, DOI 10.1016/S0380-1330(99)70734-3; Ozaki N, 2003, HYDROL PROCESS, V17, P2837, DOI 10.1002/hyp.1437; Qiu Y, 2018, WATER-SUI, V10, DOI 10.3390/w10070945; Rajts F., 2020, WORLDFISH, P3; RAPPAPORT A, 1976, Bamidgeh, V28, P35; Rojas Romero J. A., 2010, TRATAMIENTO AGUAS RE, V3, P5; Roy SM, 2017, J WORLD AQUACULT SOC, V48, P898, DOI 10.1111/jwas.12410; Sander R, 2015, ATMOS CHEM PHYS, V15, P4399, DOI 10.5194/acp-15-4399-2015; Tanveer M., 2018, INT J FISHERIES AQUA, V6, P342; Tchobanoglous G., 2003, WASTEWATER ENG TREAT, V4 th, P2; Tian L, 2018, HYDROMETALLURGY, V180, P158, DOI 10.1016/j.hydromet.2018.06.011; Uby L, 2019, WATER RES, V157, P415, DOI 10.1016/j.watres.2019.03.063; Yang XE, 2008, J ZHEJIANG UNIV-SC B, V9, P197, DOI 10.1631/jzus.B0710626</t>
  </si>
  <si>
    <t>0121-750X</t>
  </si>
  <si>
    <t>2344-8393</t>
  </si>
  <si>
    <t>INGENIERIA-BOGOTA</t>
  </si>
  <si>
    <t>Ingenieria</t>
  </si>
  <si>
    <t>e17467</t>
  </si>
  <si>
    <t>10.14483/23448393.17467</t>
  </si>
  <si>
    <t>1K1WC</t>
  </si>
  <si>
    <t>WOS:000798398500008</t>
  </si>
  <si>
    <t>Morales, MAM; Diaz, AG</t>
  </si>
  <si>
    <t>Murcia Morales, Maria Angelica; Garcia Diaz, Ana</t>
  </si>
  <si>
    <t>Inclusion of traditional Colombian music it singing majors in higher conservatories of Bogota: Teaching experiences</t>
  </si>
  <si>
    <t>REVISTA INTERNACIONAL DE EDUCACION MUSICAL</t>
  </si>
  <si>
    <t>Folk music; Colombia; singing training; university; music pedagogy</t>
  </si>
  <si>
    <t>Singing learning in Colombian Higher Education is centred on teaching European repertoire. However, the need to include traditional music in the curriculum arose some years ago. This study aims to understand the teachers' experience including traditional Colombian repertoire into their classrooms. The sample included four universities in Bogota and 13 singing teachers. This ethnographic study gathered data by using a semi-structured interview Data was analysed following the qualitative method. In this paper, the teachers' challenges and concerns are presented. Also, the differences between the teaching method used for European and traditional music, as well as the vocal impact of learning the traditional music technique are introduced. It is discussed the positive perception of teachers regarding the inclusion of traditional music, understanding music as a tool to promote and recognise the country's cultural background.</t>
  </si>
  <si>
    <t>[Murcia Morales, Maria Angelica] Univ Pedag &amp; Tecnol Colombia, Tunja, Colombia; [Garcia Diaz, Ana] Univ Int La Rioja, C Ave Paz 137, Logrono 26006, La Rioja, Spain</t>
  </si>
  <si>
    <t>Universidad Pedagogica y Tecnologica de Colombia (UPTC); Universidad Internacional de La Rioja (UNIR)</t>
  </si>
  <si>
    <t>Diaz, AG (corresponding author), Univ Int La Rioja, C Ave Paz 137, Logrono 26006, La Rioja, Spain.</t>
  </si>
  <si>
    <t>ana.garcia.d@unir.net</t>
  </si>
  <si>
    <t>Aharonian C, 2009, REV MUSIC CHIL, V63, P66; Arenas E., 2016, PENSAMIENTO PALABRA, V15, P96; Banegas P., 2019, 4 JORNADAS ESTUDIANT; Beaud S., 2018, PERSPECTIVAS METODOL, V54, P175; Cangiano M., 2017, PIT GORAS 500, V7, P71; Carabetta S, 2017, REV INT EDUC MUSICAL, V5, P119, DOI 10.12967/RIEM-2017-5-p119-127; Chao-Fern?ndez R., 2020, REV ELECT LEEME, V45, P111, DOI [10.7203/leeme.45.16880, DOI 10.7203/LEEME.45.16880]; Costa L., 2004, REV TRANSCULTURALIDA, V8, P1; Creswell J.W., 2012, ED RES PLANNING COND; Diaz H., 2012, S SENTIDO S S CULTUR, P537; Estupinan J.P., 2020, REV ESTUDOS INVESTIG, V6, P102; Flick U, 2002, SOC SCI INFORM, V41, P5, DOI 10.1177/0539018402041001001; Forneiro J.L., 2017, BLO, V1, P105; FREIRE P, 1971, PEDAGOGIA OPRIMIDO; Gibbs G. R., 2012, ANALISIS DATOS CUALI; Guber R., 2016, ETNOGRAFIA METODO CA; Hernandez C.R., 2004, MUSICA LLANERA CARTI; Herrera M.A., 2020, REV ESTESIS, V8, P42; Jaramillo J., 2018, CUADERNOS M SICA ART, V13, P173; Kilby M., 2019, THESIS U CAROLINA NO; Madrid A.L., 2017, REV DEPARTAMENTO M S, V7, P79; Madrid L., 2017, INVESTIGA AO QUALITA, V3, P160; Martin Castilla R., 2010, HIST ACTUAL ONLINE, V23, P85; Minana C., 2000, CONTRATIEMPO REV M S, V11, P36; Monti E, 2017, LOGOP PHONIATR VOCO, V42, P62, DOI 10.3109/14015439.2016.1166394; Moreno J.M., 2019, REV ESTESIS, V7, P62; Nunez-Delgado M.P., 2017, CINTA MOEBIO, V59, P210; Ocampo J., 2002, DANZAS CANTOS RITMOS; Olave S., 2020, CALLE 14 REV INVESTI, V15, P140; Penalver J.M., 2019, DEDICA REV EDUCA AO, V15, P29; Perez Herrera M.A., 2014, ARTISTA REV INVESTIG, V11, P30; Perron M., 2006, ETHNOLOGIES, V26, P79; Reguinfo J.A., 2018, PENSAMIENTO PALABRA, V19, P62; Rocco B., 2020, CEDOTIC, V5, P195; Rodriguez-Garcia D., 2019, ATAS INVESTIGA AO QU, V3, P603; Romanou K., 2009, SERBIAN GREEK ART MU; Salazar Gutiérrez Nubia Paola, 2016, Civilizar, V16, P205, DOI 10.22518/16578953.650; Santamaria C., 2007, REV M SICA LATINOAME, V28, P1; Sarmiento M.A., 2019, TSANTSA REV INVESTIG, V7, P185; Schwartz E., 2018, FUNCTIONAL VOICE SKI; SEVILLA MANUEL, 2009, Signo pensam., V28, P218; Soto I.E., 2019, WILLICHE REV MUSICOL, V42, P367; Tovar Holguin, 2017, REV INT EDUC MUSICAL, V5, P149; Travassos E., 2008, MUSICA PERSPECTIVA, V1, P14; Travassos E., 2004, PERFORMING BELIEFS I, V1, P49; Ulloa A., 2011, PERSPECTIVAS CULTURA; Urriza L.M., 2017, INFORME INTEGRAR, V104, P1; Valverde H.X., 2018, LEEME, V41, P16; Vargas Ileana, 2012, CALIDAD EDUCACION SU, V3, P119; Vilas P.C., 2016, CONGRESO INT M SICA, P381</t>
  </si>
  <si>
    <t>SAGE PUBLICATIONS LTD</t>
  </si>
  <si>
    <t>1 OLIVERS YARD, 55 CITY ROAD, LONDON EC1Y 1SP, ENGLAND</t>
  </si>
  <si>
    <t>2307-4841</t>
  </si>
  <si>
    <t>REV INT EDUC MUSICAL</t>
  </si>
  <si>
    <t>Rev. Int. Educ. Musical</t>
  </si>
  <si>
    <t>Music</t>
  </si>
  <si>
    <t>5M0EX</t>
  </si>
  <si>
    <t>WOS:000870781100002</t>
  </si>
  <si>
    <t>Carvalho, WOF; Damasceno, GHB; Moncada-villa, E; Mejia-salazar, JR</t>
  </si>
  <si>
    <t>Carvalho, William O. F.; Damasceno, Gabriel H. B.; Moncada-villa, E.; Mejia-salazar, J. R.</t>
  </si>
  <si>
    <t>Active manipulation of radiated fields by a magnetoplasmonic half-wave dipole nanoantenna</t>
  </si>
  <si>
    <t>OPTICS LETTERS</t>
  </si>
  <si>
    <t>ANTENNAS</t>
  </si>
  <si>
    <t>We demonstrate a concept for the active manipulation of radiated fields by a magnetoplasmonic half-wave dipole nanoantenna. Our idea comprises a two arms nanoantenna, made of metallic ferromagnetic cobalt-silver alloy (Co6Ag94), inspired by the analogous radio frequency half-wave dipole antenna design. Numerical results, obtained under the magnetization saturation condition, indicate a tilting of the radiated beam depending on the magnitude and sense of the magnetization of the ferromagnetic material. Significantly, we obtained tilting angles as large as +/- 9.7 degrees around they axis for the magnetization placed along the x or z axes, respectively. Results in this work not only open up a new, to the best of our knowledge, way to dynamically manipulate the beam steering at the chip-scale, but also contribute to unveil novel magneto-optical effects at the nanoscale. (c) 2023 Optica Publishing Group</t>
  </si>
  <si>
    <t>[Carvalho, William O. F.; Damasceno, Gabriel H. B.; Mejia-salazar, J. R.] Natl Inst Telecommun Inatel, BR-37540000 Santa Rita do Sapucai, MG, Brazil; [Moncada-villa, E.] Univ Pedag &amp; Tecnol Colombia, Escuela Fis, Ave Cent Norte 39-115, Tunja, Colombia</t>
  </si>
  <si>
    <t>Instituto Nacional de Telecomunicacoes (INATEL); Universidad Pedagogica y Tecnologica de Colombia (UPTC)</t>
  </si>
  <si>
    <t>Carvalho, WOF (corresponding author), Natl Inst Telecommun Inatel, BR-37540000 Santa Rita do Sapucai, MG, Brazil.</t>
  </si>
  <si>
    <t>williamofcarvalho@gmail.com</t>
  </si>
  <si>
    <t>Mejia Salazar, J. Ricardo/I-8855-2016; Carvalho, William/ABC-6452-2020</t>
  </si>
  <si>
    <t>Mejia Salazar, J. Ricardo/0000-0003-1742-9957; Damasceno, Gabriel/0000-0002-4216-2759; Carvalho, William/0000-0001-6178-0061</t>
  </si>
  <si>
    <t>Rede Nacional de Ensino e Pesquisa [01245.010604/2020-14, 001, 314671/2021-8, 2021/06946-0]</t>
  </si>
  <si>
    <t>Rede Nacional de Ensino e Pesquisa</t>
  </si>
  <si>
    <t>Funding. Rede Nacional de Ensino e Pesquisa (01245.010604/2020-14) ; Coordena??o de Aperfei?oamento de Pessoal de N?vel Superior (Finance Code 001) ; Conselho Nacional de Desenvolvimento Cient?fico e Tec-nol?gico (314671/2021-8) ; Funda??o de Amparo ? Pesquisa do Estado de S?o Paulo (2021/06946-0) .</t>
  </si>
  <si>
    <t>Afridi A, 2016, OPT EXPRESS, V24, P25647, DOI 10.1364/OE.24.025647; Alu A, 2013, IEEE T ANTENN PROPAG, V61, P1508, DOI 10.1109/TAP.2013.2241718; Alu A, 2010, PHYS REV LETT, V104, DOI 10.1103/PhysRevLett.104.213902; Arnaud L, 2013, J OPT SOC AM A, V30, P2347, DOI 10.1364/JOSAA.30.002347; Balanis C. A., 2015, ANTENNA THEORY; Blanquer G, 2021, OPT EXPRESS, V29, P29034, DOI 10.1364/OE.432637; Carvalho WOF, 2022, Arxiv, DOI 10.48550/arXiv.2204.13175; Chen YJ, 1999, J APPL PHYS, V85, P5048, DOI 10.1063/1.370087; Cohen M, 2017, NANO LETT, V17, P5181, DOI 10.1021/acs.nanolett.7b00266; Dregely D, 2011, NAT COMMUN, V2, DOI 10.1038/ncomms1268; Duarte F, 2021, NANOMATERIALS-BASEL, V11, DOI 10.3390/nano11020422; Gao L, 2013, J EUR OPT SOC-RAPID, V8, DOI 10.2971/jeos.2013.13010; Giannini V, 2011, CHEM REV, V111, P3888, DOI 10.1021/cr1002672; Haidu F, 2011, PHYS REV B, V84, DOI 10.1103/PhysRevB.84.195203; Ho JF, 2018, ACS NANO, V12, P8616, DOI 10.1021/acsnano.8b04361; Jackson J. D., 1999, CLASSICAL ELECTRODYN; Kern J, 2015, NAT PHOTONICS, V9, P582, DOI [10.1038/nphoton.2015.141, 10.1038/NPHOTON.2015.141]; Kim HM, 2020, OPT EXPRESS, V28, P16822, DOI 10.1364/OE.392999; Krasnok AE, 2012, OPT EXPRESS, V20, P20599, DOI 10.1364/OE.20.020599; Kullock R, 2020, NAT COMMUN, V11, DOI 10.1038/s41467-019-14011-6; Lee YU, 2020, ACS NANO, V14, P7666, DOI 10.1021/acsnano.0c04019; Lopez-Rayon F, 2022, NANOMATERIALS-BASEL, V12, DOI 10.3390/nano12101701; Maksymov IS, 2012, NANOPHOTONICS-BERLIN, V1, P65, DOI 10.1515/nanoph-2012-0005; Novotny L., 2006, PRINCIPLES NANOOPTIC; Novotny L, 2008, NATURE, V455, P887, DOI 10.1038/455887a; Onbasli MC, 2016, SCI REP-UK, V6, DOI 10.1038/srep23640; Ott A, 2018, PHYS REV B, V97, DOI 10.1103/PhysRevB.97.205414; Pfaffenbach ES, 2021, ACS APPL MATER INTER, V13, P60672, DOI 10.1021/acsami.1c19194; Qin J, 2019, ACS PHOTONICS, V6, P2392, DOI 10.1021/acsphotonics.9b00954; Tan XC, 2020, NAT COMMUN, V11, DOI 10.1038/s41467-020-19085-1; Wang HY, 2021, ACS APPL MATER INTER, V13, P44760, DOI 10.1021/acsami.1c11995; Wang SY, 1999, J APPL PHYS, V85, P5121, DOI 10.1063/1.369097; Xiong Y, 2021, NANOSCALE, V13, P2429, DOI 10.1039/d0nr06148d; Yang YQ, 2016, SCI REP-UK, V6, DOI 10.1038/srep19490</t>
  </si>
  <si>
    <t>Optica Publishing Group</t>
  </si>
  <si>
    <t>2010 MASSACHUSETTS AVE NW, WASHINGTON, DC 20036 USA</t>
  </si>
  <si>
    <t>0146-9592</t>
  </si>
  <si>
    <t>1539-4794</t>
  </si>
  <si>
    <t>OPT LETT</t>
  </si>
  <si>
    <t>Opt. Lett.</t>
  </si>
  <si>
    <t>10.1364/OL.480692</t>
  </si>
  <si>
    <t>Optics</t>
  </si>
  <si>
    <t>9A0CP</t>
  </si>
  <si>
    <t>WOS:000933735600003</t>
  </si>
  <si>
    <t>Blanco-Zuniga, CR; Rojas-Arias, N</t>
  </si>
  <si>
    <t>Rene Blanco-Zuniga, Cesar; Rojas-Arias, Nicolas</t>
  </si>
  <si>
    <t>Application of an anoxic-limestone prototype for treating acid drains produced synthetically, varying the concentration of Fe+2</t>
  </si>
  <si>
    <t>TECNOLOGIA Y CIENCIAS DEL AGUA</t>
  </si>
  <si>
    <t>Acid Mine Drainage (AMD); synthetic acid drainage (SAD); Anoxic Limestone Drainage (DAC); Hydraulic Retention Time; alkalinity; Total Fe</t>
  </si>
  <si>
    <t>MINE DRAINAGE; PYRITE OXIDATION; NITRIC-ACID; WATER; REMEDIATION; SELECTION; REMOVAL; LAKES</t>
  </si>
  <si>
    <t>Mining operations associated with the extraction of coal and emeralds in the department of Boyaca, Colombia, contribute to the generation of acid mine drainage (AMD), which affects the ecosystems close to the mining activity. Applying basic systems such as limestone anoxic drains (DAC) make it possible to counteract the acidity present in the MAD by raising the pH. However, they cannot significantly remove sulfate and ferrous iron from the waste. Due to the above, this work studies the behavior of anoxic synthetic acid drainage (SAD), treated through a DAC system, using the area's limestone as a future possibility of application for the treatment of these wastes at an industrial level. Synthetic samples were analyzed with hydraulic retention times of 8, 16, and 24 hours under anoxic conditions. The results show pH regulation after 8 hours of treatment. The alkalinity of the prepared 10 and 100 mg center dot L-1 Fe+2 samples reach their maximum peak in this same period, reducing the Fe+2 concentration present in the DAS samples by 88% with a retention time of 24h. This study shows that the application of DAC to treat this type of water significantly reduces the concentration of Fe+2, which may be associated with the formation of carbonates.</t>
  </si>
  <si>
    <t>[Rene Blanco-Zuniga, Cesar] Univ Pedag &amp; Tecnol Colombia, Escuela Ingn Ambiental, Grp Invest GISABA, Tunja Boyaca, Colombia; [Rojas-Arias, Nicolas] Univ Pedag &amp; Tecnol Colombia, Escuela Ingn Met, Tunja Boyaca, Colombia; [Rojas-Arias, Nicolas] Univ Fed Sao Carlos, Dept Mat Engn, Grad Program Mat Sci &amp; Engn, Sao Carlos, Brazil</t>
  </si>
  <si>
    <t>Rojas-Arias, N (corresponding author), Univ Pedag &amp; Tecnol Colombia, Escuela Ingn Met, Tunja Boyaca, Colombia.;Rojas-Arias, N (corresponding author), Univ Fed Sao Carlos, Dept Mat Engn, Grad Program Mat Sci &amp; Engn, Sao Carlos, Brazil.</t>
  </si>
  <si>
    <t>cesar.blanco@uptc.edu.co; nicolas.rojas@estudante.ufscar.br</t>
  </si>
  <si>
    <t>Aduvire O., 2006, DRENAJE ACIDO MINA G; [Anonymous], 1995, PYRITE OXIDATION ITS; ASTM American Society for Testing and Materials, 2010, E1109 ASTM, DOI [10.1520/E0011-09E01.2, DOI 10.1520/E0011-09E01.2]; Beam R. L., 1990, EFFECTIVENESS ADDI 1, DOI [10.21000/JASMR90010221, DOI 10.21000/JASMR90010221]; Bejan D, 2015, J APPL ELECTROCHEM, V45, P1239, DOI 10.1007/s10800-015-0884-2; Blodau C, 2006, SCI TOTAL ENVIRON, V369, P307, DOI 10.1016/j.scitotenv.2006.05.004; Carlos J. A. N., 2018, REV AGUNKUYA, V4, P1; Chai YZ, 2020, MINER ENG, V157, DOI 10.1016/j.mineng.2020.106560; Chen YT, 2014, ENVIRON SCI TECHNOL, V48, P5537, DOI 10.1021/es500154z; Contreras-Beltran B. A., 2015, ANALISIS CALIDAD FIS; Cropper, 1959, CHEM IRON NATURAL WA, DOI 10.3133/wsp1459A.; Demchak J., 2001, GEOCHEM-EXPLOR ENV A, V1, P71, DOI [10.1144/geochem.1.1.71, DOI 10.1144/GEOCHEM.1.1.71]; Fernando WAM, 2018, MINER ENG, V117, P74, DOI 10.1016/j.mineng.2017.12.004; Freeman AI, 2018, SCI TOTAL ENVIRON, V627, P1182, DOI 10.1016/j.scitotenv.2018.01.261; Goodman AL, 2000, J GEOPHYS RES-ATMOS, V105, P29053, DOI 10.1029/2000JD900396; Han YS, 2017, CATENA, V148, P52, DOI 10.1016/j.catena.2015.11.015; Hedin R. S., 1994, J AM SOC MINING RECL, V1994, P185, DOI [10.21000/JASMR94010185, DOI 10.21000/JASMR94010185]; Hem J. D., 1985, STUDY INTERPRETATION, V2254, DOI DOI 10.3133/WSP2254; Incitema Instituto para la Investigacion e Innovacion en Ciencia y Tecnologia de Materiales, 2018, AN FALL EV MAT; Jacobson RL, 1970, GROUND WATER, V8, P5, DOI DOI 10.1111/J.1745-6584.1970.TB01302.X; Johnson DB, 2005, SCI TOTAL ENVIRON, V338, P3, DOI 10.1016/j.scitotenv.2004.09.002; Jouini M, 2019, ENVIRON SCI POLLUT R, V26, P35588, DOI 10.1007/s11356-019-04608-1; Kusin F.M., 2013, INT J ENG TECHNOL, V13(6), P87; Kuyucak N, 1998, INT J ENVIRON POLLUT, V10, P315, DOI 10.1504/IJEP.1998.005151; Labastida I, 2019, SCI TOTAL ENVIRON, V677, P404, DOI 10.1016/j.scitotenv.2019.04.373; Louis AMP, 2015, ENVIRON SCI TECHNOL, V49, P7701, DOI 10.1021/es505374g; Lovell H. L, 1973, EPA670273093, P72; Lozano-Vergara A, 2008, RESOLUCION 5731 2008; Manahan S.E., 1991, ENV CHEM; Nairn R.W., 1992, P 9 ANN NAT M AM SOC, V1992, P206; Nordstrom DK, 2015, APPL GEOCHEM, V57, P3, DOI 10.1016/j.apgeochem.2015.02.008; Plummer L.N., 1979, ACS SYM SER, VVolume 93, P537; Rakotonimaro TV, 2018, ENVIRON SCI POLLUT R, V25, P17575, DOI 10.1007/s11356-018-1820-x; RODHE H, 1981, TELLUS, V33, P132, DOI 10.1111/j.2153-3490.1981.tb01739.x; Sander R, 2015, ATMOS CHEM PHYS, V15, P4399, DOI 10.5194/acp-15-4399-2015; Sandlin W, 2021, INT J MIN RECLAM ENV, V35, P34, DOI 10.1080/17480930.2020.1728035; Santomartino S, 2007, APPL GEOCHEM, V22, P2344, DOI 10.1016/j.apgeochem.2007.04.020; Scholz F, 2015, CHEMTEXTS, V1, DOI 10.1007/s40828-015-0006-0; Skousen J, 2005, P NATL M AM SOC MINI; Skousen J., 1999, J AM SOC MINING RECL, V1999, P621, DOI [10.21000/JASMR99010621, DOI 10.21000/JASMR99010621, 10.21000/jasmr99010621]; Skousen J., 1991, GREEN LANDS, V21, P30; Skousen J. G., 2000, Reclamation of drastically disturbed lands, P131; Skousen J, 2017, MINE WATER ENVIRON, V36, P133, DOI 10.1007/s10230-016-0417-1; Skousen JG, 2019, EXTRACT IND SOC, V6, P241, DOI 10.1016/j.exis.2018.09.008; Snoeyink V.L., 1980, WATER CHEM, V1st; Statements B., 2014, C136C136M ASTM, DOI [10.1520/C0136, DOI 10.1520/C0136]; SVERDRUP H, 1985, WATER RESOUR RES, V21, P1374, DOI 10.1029/WR021i009p01374; Taylor J., 2005, P 5 AUSTR WORKSHOP A; Trumm D, 2010, NEW ZEAL J GEOL GEOP, V53, P195, DOI 10.1080/00288306.2010.500715; Waters J., 2003, P 6 INT C ACID ROCK, P831, DOI [https://doi.org/10.7939/r3-aqq7-ez64, DOI 10.7939/R3-AQQ7-EZ64]; Watzlaf GR., 2000, MINE WATER ENVIRON, V19, P98, DOI [10.1007/BF02687258, DOI 10.1007/BF02687258]; Yadav H. L., 2015, INT J NEW TECHNOL SC, V2, P77; Younger P. L., 2002, MINE WATER HYDROLOGY, DOI DOI 10.1007/978-94-010-0610-1; Ziemkiewicz PF, 1997, J ENVIRON QUAL, V26, P1017, DOI 10.2134/jeq1997.00472425002600040013x; Ziemkiewicz PF, 2003, MINE WATER ENVIRON, V22, P118, DOI DOI 10.1007/S10230-003-0012-0; Zipper C, 2014, ACID MINE DRAINAGE, ROCK DRAINAGE AND ACID SULFATE SOILS: CAUSES, ASSESSMENT, PREDICTION, PREVENTION, AND REMEDIATION, P339</t>
  </si>
  <si>
    <t>INST MEXICANO TECHNOLOGIAAGUA</t>
  </si>
  <si>
    <t>MORELOS</t>
  </si>
  <si>
    <t>APARTADO POSTAL 202, MORELOS 62550 CIVAC, MEXICO</t>
  </si>
  <si>
    <t>0187-8336</t>
  </si>
  <si>
    <t>2007-2422</t>
  </si>
  <si>
    <t>TECNOL CIENC AGUA</t>
  </si>
  <si>
    <t>Tecnol. Cienc. Agua</t>
  </si>
  <si>
    <t>10.24850/j-tyca-14-01-09</t>
  </si>
  <si>
    <t>Engineering, Civil; Water Resources</t>
  </si>
  <si>
    <t>Engineering; Water Resources</t>
  </si>
  <si>
    <t>9E0JV</t>
  </si>
  <si>
    <t>WOS:000936482200009</t>
  </si>
  <si>
    <t>Cortes, OP; Bernal, OOE; Rodriguez, OYA</t>
  </si>
  <si>
    <t>Cortes, Oscar Pulido; Bernal, Oscar Orlando Espinel; Rodriguez, Olga Yaneth Acuna</t>
  </si>
  <si>
    <t>Human capital and modernization project of the Colombian university system, second half of the 20th century</t>
  </si>
  <si>
    <t>university; governmentality; human capital; modernization; capitalism</t>
  </si>
  <si>
    <t>The aim of this article is to analyze the influence of neoliberalism over the consolidation ofthe model ofthe university in Colombia, from a project of a professionalizing university to a model focused on the formation of human capital. In order to achieve said purpose, the Sistema de Educacion Superior required the creation of three institutions: ICETEX, ASCUN and Fondo Universitario Nacional. The policies of the university brought together the concerns of the different assessments carried out by international communities, in which it was determined that science and technology would be the fundamental pillars of the university project. The present study was conducted from the point of view of the social history of education with a decolonial perspective, with the aim of analyzing the main threads of global power, embodied in educational practices. The above allowed for an understanding of how the influence of neoliberalism over the new conception of the university led to the transformation of the social and economic model, in order for it to become a way of being and of producing subjectivities.</t>
  </si>
  <si>
    <t>[Cortes, Oscar Pulido] Univ Pedag &amp; Tecnol Colombia, Boyaca, Colombia; [Bernal, Oscar Orlando Espinel] Corp Univ Minuto Dios, Bogota, Colombia; [Rodriguez, Olga Yaneth Acuna] Univ Pedag &amp; Tecnol Colombia, Boyaca, Colombia</t>
  </si>
  <si>
    <t>Universidad Pedagogica y Tecnologica de Colombia (UPTC); Corporacion Universitaria Minuto de Dios (UNIMINUTO); Universidad Pedagogica y Tecnologica de Colombia (UPTC)</t>
  </si>
  <si>
    <t>Cortes, OP (corresponding author), Univ Pedag &amp; Tecnol Colombia, Boyaca, Colombia.</t>
  </si>
  <si>
    <t>oscar.pulido@uptc.edu.co</t>
  </si>
  <si>
    <t>ACUNA RODRIGUEZ, OLGA YANET/0000-0001-6273-2715</t>
  </si>
  <si>
    <t>Agudelo H., 1969, REVOLUCION DESARROLL; Albano J., 2007, TEORIAS ECONOMICAS M, P167; Atcon R., 1966, U LATINOAMERICANA CL; Becker G., 1983, EL CAPITAL HUMANO; Becker G., 1964, HUMAN CAPITAL; Caicedo Terán Sandra Liliana, 2018, Prax. Saber, V9, P15, DOI 10.19053/22160159.v9.n20.2018.8294; Cohen D., 2007, 3 LECCIONES SOC POST; Coombs P., 1968, CRISIS MUNDIAL EDUCA; Dardot P., 2013, NUEVA RAZON MUNDO EN; Escobar A., 1996, INVENCION TERCER MUN; Espinel Bernal O., 2015, REV EDUC-MADRID, V25, P333; Espinel O., 2013, ED DERECHOS HUMANOS; Espinel O., 2016, REPRESENTACIONES DIS, P13; Gurrieri A., 1982, OBRA PREBISCH CEPAL; ICETEX, 1975, REC REQ PERS ALT NIV; ICFES, 1970, EDUCACION SUPERIOR C; Laval C., 2004, ESCUELA EMPRESA ATAQ; Lazzarato M., 2011, FABRICA HOMBRE ENDEU; MEN, 1967, INF FIN SEM CIENC TE; Noguera C. E., 2012, GOBIERNO PEDAGOGICO; ONU, 1945, CART NAC UN; Pulido Cortés Óscar, 2014, Prax. Saber, V5, P219; Pulido O., 2018, U COMO PROYECTO MODE; Pulido O., 2016, PENSAR INTEMPERIE EN, P55; Schultz T., 1968, VALOR EC ED; Schultz T., 1985, INVIRTIENDO GENTE; Sloterdijk P., 2012, HAS CAMBIAR TU VIDA</t>
  </si>
  <si>
    <t>e14275</t>
  </si>
  <si>
    <t>10.19053/22160159.v13.n35.2022.14275</t>
  </si>
  <si>
    <t>WOS:000986286800006</t>
  </si>
  <si>
    <t>Torres, F; Abaunza, RAM; Ortegon, VA; Rodriguez, LJV</t>
  </si>
  <si>
    <t>Torres, F.; Morales Abaunza, R. A.; Infante Ortegon, V. A.; Vargas Rodriguez, L. J.</t>
  </si>
  <si>
    <t>Ocular adverse effects related to the administration of parenteral bisphosphonates: Experience of the family doctor</t>
  </si>
  <si>
    <t>MEDICINA DE FAMILIA-SEMERGEN</t>
  </si>
  <si>
    <t>[Torres, F.] Univ Pedag &amp; Tecnol Colombia, Med Familiar &amp; Comunitaria, Tunja, Colombia; [Morales Abaunza, R. A.] Hosp Univ San Rafael, Med Interna &amp; Reumatol, Tunja, Colombia; [Infante Ortegon, V. A.] Hosp Univ San Rafael, Tunja, Colombia; [Vargas Rodriguez, L. J.] Hosp Univ San Rafael, Epidemiol, Tunja, Colombia</t>
  </si>
  <si>
    <t>Rodriguez, LJV (corresponding author), Hosp Univ San Rafael, Epidemiol, Tunja, Colombia.</t>
  </si>
  <si>
    <t>lejovaro@gmail.com</t>
  </si>
  <si>
    <t>Cremers S, 2019, BRIT J CLIN PHARMACO, V85, P1052, DOI 10.1111/bcp.13867; Etminan M, 2012, CAN MED ASSOC J, V184, pE431, DOI 10.1503/cmaj.111752; Gendelman O, 2022, OCUL IMMUNOL INFLAMM, V30, P1995, DOI 10.1080/09273948.2021.1922705; Jin X, 2021, ARCH OSTEOPOROS, V16, DOI 10.1007/s11657-021-00964-z; Kennedy T, 2018, AGE AGEING, V47, P754, DOI 10.1093/ageing/afy070; Loke YK, 2009, DRUG SAFETY, V32, P219, DOI 10.2165/00002018-200932030-00004; McKague M, 2010, CAN FAM PHYSICIAN, V56, P1015; Nagano Y, 2012, J CLIN BIOCHEM NUTR, V51, P196, DOI 10.3164/jcbn.12-41; Pazianas M, 2013, J BONE MINER RES, V28, P455, DOI 10.1002/jbmr.1783; Sanko Posada AA, 2021, REV COLOMB REUMATOL, V28, P104</t>
  </si>
  <si>
    <t>1138-3593</t>
  </si>
  <si>
    <t>1578-8865</t>
  </si>
  <si>
    <t>MED FAM-SEMERGEN</t>
  </si>
  <si>
    <t>Med. Fam.-SEMERGEN</t>
  </si>
  <si>
    <t>10.1016/j.semerg.2022.101826</t>
  </si>
  <si>
    <t>Primary Health Care</t>
  </si>
  <si>
    <t>5M4GX</t>
  </si>
  <si>
    <t>WOS:000871056900006</t>
  </si>
  <si>
    <t>de Figueiredo, FAP; Moncada-Villa, E; Mejia-Salazar, JR</t>
  </si>
  <si>
    <t>de Figueiredo, Felipe A. P.; Moncada-Villa, Edwin; Mejia-Salazar, Jorge Ricardo</t>
  </si>
  <si>
    <t>Optimization of Magnetoplasmonic epsilon-Near-Zero Nanostructures Using a Genetic Algorithm</t>
  </si>
  <si>
    <t>genetic algorithm optimization; magnetoplasmonics; magneto-optics; sensing; TMOKE</t>
  </si>
  <si>
    <t>Magnetoplasmonic permittivity-near-zero (epsilon-near-zero) nanostructures hold promise for novel highly integrated (bio)sensing devices. These platforms merge the high-resolution sensing from the magnetoplasmonic approach with the epsilon-near-zero-based light-to-plasmon coupling (instead of conventional gratings or bulky prism couplers), providing a way for sensing devices with higher miniaturization levels. However, the applications are mostly hindered by tedious and time-consuming numerical analyses, due to the lack of an analytical relation for the phase-matching condition. There is, therefore, a need to develop mechanisms that enable the exploitation of magnetoplasmonic epsilon-near-zero nanostructures' capabilities. In this work, we developed a genetic algorithm (GA) for the rapid design (in a few minutes) of magnetoplasmonic nanostructures with optimized TMOKE (transverse magneto-optical Kerr effect) signals and magnetoplasmonic sensing. Importantly, to illustrate the power and simplicity of our approach, we designed a magnetoplasmonic epsilon-near-zero sensing platform with a sensitivity higher than 56 degrees/RIU and a figure of merit in the order of 10(2). These last results, higher than any previous magnetoplasmonic s-near-zero sensing approach, were obtained by the GA intelligent program in times ranging from 2 to 5 min (using a simple inexpensive dual-core CPU computer).</t>
  </si>
  <si>
    <t>[de Figueiredo, Felipe A. P.; Mejia-Salazar, Jorge Ricardo] Inst Nacl Telecomunicacoes Inatel, BR-37540000 Santa Rita Do Sapucai, Brazil; [Moncada-Villa, Edwin] Univ Pedag &amp; Tecnol Colombia, Escuela Fis, Ave Cent Norte 39-115, Tunja 150003, Colombia</t>
  </si>
  <si>
    <t>Mejia-Salazar, JR (corresponding author), Inst Nacl Telecomunicacoes Inatel, BR-37540000 Santa Rita Do Sapucai, Brazil.</t>
  </si>
  <si>
    <t>felipe.figueiredo@inatel.br; edwin.moncada@uptc.edu.co; jrmejia@inatel.br</t>
  </si>
  <si>
    <t>Pereira de Figueiredo, Felipe Augusto/W-5410-2019</t>
  </si>
  <si>
    <t>Pereira de Figueiredo, Felipe Augusto/0000-0002-2167-7286</t>
  </si>
  <si>
    <t>Brazilian agencies National Council for Scientific and Technological Development-CNPq [314671/2021-8]; RNP; MCTIC under the Brazil 6G project of the Radiocommunication Reference Center (Centro de Referencia em Radiocomunicacoes-CRR) of the National Institute of Telecommunications (Instituto Nacional de Telecomunicacoes-Inatel), Brazil [01245.010604/2020-14]</t>
  </si>
  <si>
    <t>Brazilian agencies National Council for Scientific and Technological Development-CNPq(Conselho Nacional de Desenvolvimento Cientifico e Tecnologico (CNPQ)); RNP; MCTIC under the Brazil 6G project of the Radiocommunication Reference Center (Centro de Referencia em Radiocomunicacoes-CRR) of the National Institute of Telecommunications (Instituto Nacional de Telecomunicacoes-Inatel), Brazil</t>
  </si>
  <si>
    <t>Partial financial support was received from RNP, with resources from MCTIC, Grant No. 01245.010604/2020-14, under the Brazil 6G project of the Radiocommunication Reference Center (Centro de Referencia em Radiocomunicacoes-CRR) of the National Institute of Telecommunications (Instituto Nacional de Telecomunicacoes-Inatel), Brazil. We also acknowledge financial support from the Brazilian agencies National Council for Scientific and Technological Development-CNPq (314671/2021-8).</t>
  </si>
  <si>
    <t>Agrawal AK, 2021, IEEE ACCESS, V9, P10136, DOI 10.1109/ACCESS.2021.3050201; Alekseyev LV, 2010, APPL PHYS LETT, V97, DOI 10.1063/1.3469925; Armelles G, 2013, ADV OPT MATER, V1, P10, DOI [10.1002/adom.201200011, 10.1002/adom.201370002]; ASCHENBACH B, 1985, REP PROG PHYS, V48, P579, DOI 10.1088/0034-4885/48/5/001; Bingham JM, 2010, J AM CHEM SOC, V132, P17358, DOI 10.1021/ja1074272; Brongersma ML, 2010, SCIENCE, V328, P440, DOI 10.1126/science.1186905; Caballero B, 2012, PHYS REV B, V85, DOI 10.1103/PhysRevB.85.245103; Chen X, 2017, ACS NANO, V11, P9863, DOI 10.1021/acsnano.7b03584; David S, 2015, BIOSENS BIOELECTRON, V63, P525, DOI 10.1016/j.bios.2014.08.004; de Figueiredo F.A.P, 2011, P INT WORKSHOP TELEC; Dhiman M, 2020, J MATER CHEM A, V8, P10074, DOI 10.1039/d0ta03114c; Fang YR, 2015, LIGHT-SCI APPL, V4, DOI 10.1038/lsa.2015.67; Fedyanin DY, 2016, NANO LETT, V16, P362, DOI 10.1021/acs.nanolett.5b03942; Ferreiro-Vila E, 2009, PHYS REV B, V80, DOI 10.1103/PhysRevB.80.125132; Giannini V, 2011, CHEM REV, V111, P3888, DOI 10.1021/cr1002672; Giron-Sedas JA, 2017, PHYS REV B, V96, DOI 10.1103/PhysRevB.96.075415; Halterman K, 2014, OPT EXPRESS, V22, P7337, DOI 10.1364/OE.22.007337; He XB, 2022, ACS PHOTONICS, V9, P391, DOI 10.1021/acsphotonics.1c01550; Johnson JM, 1997, IEEE ANTENN PROPAG M, V39, P7, DOI 10.1109/74.632992; Li DX, 2021, ANAL CHEM, V93, P9437, DOI 10.1021/acs.analchem.1c01078; Maccaferri N, 2015, NAT COMMUN, V6, DOI 10.1038/ncomms7150; Manera MG, 2017, SENSOR ACTUAT B-CHEM, V239, P100, DOI 10.1016/j.snb.2016.07.128; Mayer A, 2022, OPT EXPRESS, V30, P1167, DOI 10.1364/OE.442405; Mejia-Salazar JR, 2018, CHEM REV, V118, P10617, DOI 10.1021/acs.chemrev.8b00359; Moncada-Villa E, 2020, PHYS REV B, V102, DOI 10.1103/PhysRevB.102.165304; Moncada-Villa E, 2019, J PHYS CHEM C, V123, P3790, DOI 10.1021/acs.jpcc.8b11384; Mossayebi M, 2019, OPT MATER EXPRESS, V9, P2511, DOI 10.1364/OME.9.002511; Pfaffenbach ES, 2021, ACS APPL MATER INTER, V13, P60672, DOI 10.1021/acsami.1c19194; Rizal C, 2021, J APPL PHYS, V130, DOI 10.1063/5.0072884; Sadatgol M, 2016, J APPL PHYS, V119, DOI 10.1063/1.4943651; Schuller JA, 2010, NAT MATER, V9, P193, DOI [10.1038/NMAT2630, 10.1038/nmat2630]; Traviss D, 2013, APPL PHYS LETT, V102, DOI 10.1063/1.4798833; Wang XJ, 2020, ACS APPL MATER INTER, V12, P45015, DOI 10.1021/acsami.0c14937; Wang ZT, 2019, RESULTS PHYS, V14, DOI 10.1016/j.rinp.2019.102376; Xu Y, 2021, NANOPHOTONICS-BERLIN, V10, P1931, DOI 10.1515/nanoph-2021-0094; Yoon J, 2015, SCI REP-UK, V5, DOI 10.1038/srep12788</t>
  </si>
  <si>
    <t>10.3390/s22155789</t>
  </si>
  <si>
    <t>3S7PX</t>
  </si>
  <si>
    <t>WOS:000839785000001</t>
  </si>
  <si>
    <t>Hurtado-Alvarado, J; Vargas, I; Espinel-Bernal, O</t>
  </si>
  <si>
    <t>Hurtado-Alvarado, Johan; Vargas, Ingrid; Espinel-Bernal, Oscar</t>
  </si>
  <si>
    <t>the kynical gesture. for a philosophy of insolence</t>
  </si>
  <si>
    <t>kynical; cynical; philosophy; sloterdijk; gesture</t>
  </si>
  <si>
    <t>The philosophy devoted to the sacred knowledge of Athena has suffered an undeniable castration in modernity, because, following Sloterdijk, it has been related to the cynic, subjugation to appearance. For this reason, German literature differentiates between Kynismus and Zynismus. The kynysmos with k refers to the wise dogs of the agora and the Zynismus to the toothless Papillon. Under the keys of modernity, philosophy is camouflaged in moderation, good saying and salon etiquette, thereby abandoning the stridency, sarcasm and challenge that the school of Diogenes practiced; but what was that insolence? What was his speech? What were his gestures? These are some of the questions addressed in this article; therefore, the reflection on the figure of the cynic, by the hand of the author of Critique of Cynical Reason, has been central to elucidate some of these questions and, why not, obscure them, after all, the interstices of the words are deeper. For methodological reasons, the text is divided into three sections: first, Resonances of a supplanted concept, in which the link between insolence and the cynical is investigated; second, Philosophical gestures, where the grimaces of an impertinent thought are drawn and third, Conclusions.</t>
  </si>
  <si>
    <t>[Hurtado-Alvarado, Johan] Inst Caro &amp; Cuervo, Bogota, Colombia; [Vargas, Ingrid] Uniminuto, Bogota, Colombia; [Espinel-Bernal, Oscar] Univ Pedag &amp; Tecnol Colombia, Tunja, Colombia</t>
  </si>
  <si>
    <t>Corporacion Universitaria Minuto de Dios (UNIMINUTO); Universidad Pedagogica y Tecnologica de Colombia (UPTC)</t>
  </si>
  <si>
    <t>Hurtado-Alvarado, J (corresponding author), Inst Caro &amp; Cuervo, Bogota, Colombia.</t>
  </si>
  <si>
    <t>johan.steven.h2@gmail.com; ing.samu73@gmail.com; oscar.espinel@yahoo.com</t>
  </si>
  <si>
    <t>Banchot M., 1987, CRITICA DESASTRE; Bergson H., 2017, LA RISA; Cabré Lunas Laura, 2019, Boletín de Filología, V54, P19; Copleston F., 2011, HIST FILOSOFIA, VI; Deleuze Gilles, 1993, QUE ES LA FILOSOFIA; Espinel O., 2020, EDUCACION PENSAMIENT, P257; Espinel O, 2019, FRAGMENTOS LEER TRAD, P125; Espinel O., 2017, FORMAS EXPRESIONES M, P107; Espinel O., 2014, REV FERMENTARIO NUME, V2, P1; Foucault Michel, 2010, FONDO CULTURA; Garcia-Vidal C, 2022, CLIN INFECT DIS, V74, P127, DOI 10.1093/cid/ciaa964; Goulet-Caze M.-O., 2020, CINICOS MOVIMIENTO C, P532; Gredos Dialogos V., TEETETO; Hessel S., 2012, REV FACULTAD EC BUAP, VXVII; Joubert L., 2002, TRATADO RISA; Klappenbach A., 2012, FILOSOFIA RISA; Laercio Diogenes, 2007, VIDA FILOSOFOS ILUST; Meyer Michel, 1996, INSOLENCIA ENSAYO MO; Onfray M.., 2016, SABIDURIAS ANTIGUEDA; Pulido O., 2018, FILOSOFIA ENSENANZA; Pulido O., 2020, EXPERIENCIA ETICA SU, P31; Sloterdijk P., 2011, TEMPERAMENTOS FILOSO; Steiner G., 2012, POESIA PENSAMIENTO; Vaillo C., MUNDO REVES POESIA Q; Vargas I., 2021, PENSAR CONSLOTERDIJK, P148, DOI [10.19053/9789586605892, DOI 10.19053/9789586605892]; Vega Miguel Angel, 2003, CRITICA RAZON CINICA; Volpi F., 2008, ARTE TRATAR CON MUJE; Zambrano M., 1957, REV U VERACRUZANA, V2</t>
  </si>
  <si>
    <t>10.12957/childphilo.2022.64742</t>
  </si>
  <si>
    <t>4W2GD</t>
  </si>
  <si>
    <t>WOS:000859983300001</t>
  </si>
  <si>
    <t>Consuegra, F; Vizcaino, V; Pineda, Y; Fonseca, A; Paredes, V; Dugarte, M</t>
  </si>
  <si>
    <t>Consuegra, Franklin; Vizcaino, Vilson; Pineda, Yaneth; Fonseca, Ana; Paredes, Virginia; Dugarte, Margareth</t>
  </si>
  <si>
    <t>Effect of Marine-Industrial Microenvironments on the Corrosion Performance of Multilayer Coatings</t>
  </si>
  <si>
    <t>CORROSION</t>
  </si>
  <si>
    <t>coatings; corrosion performance; industrial; marine; microenvironments; multilayer</t>
  </si>
  <si>
    <t>PLAIN CARBON-STEEL; ATMOSPHERIC CORROSION; SULFUR-DIOXIDE; MILD-STEEL; PART II; DEPOSITION; BEHAVIOR; METALS; XRD</t>
  </si>
  <si>
    <t>Atmospheric contaminants from marine-industrial environments could cause corrosion damage on steel A36 usually used in equipment and machinery. Therefore, it is desirable to study the corrosion phenomena in different microenvironments and formulate adequate protection measures. In this study, three microenvironments were selected and categorized according to ISO-12944-2 standard as C5-I and C5-M. Four multilayer-coating schemes were used on each exposure site to evaluate their performance. Corrosion products were analyzed using x-ray diffraction, Raman, and ultraviolet-visible techniques. The results showed that the best system was composed of a flake-filled-epoxy/polyamides/epoxy-siloxane. The results confirmed the influence of atmospheric contaminants on overall behavior from different locations.</t>
  </si>
  <si>
    <t>[Consuegra, Franklin; Fonseca, Ana; Paredes, Virginia] Univ Norte, Dept Mech Engn, Barranquilla 080001, Colombia; [Vizcaino, Vilson; Dugarte, Margareth] Univ Norte, Dept Civil &amp; Environm Engn, Barranquilla 080001, Colombia; [Vizcaino, Vilson] Nitrofert SAS, Barranquilla 080001, Colombia; [Pineda, Yaneth] Univ Pedag &amp; Tecnol Colombia, Tunja 150003, Colombia</t>
  </si>
  <si>
    <t>Universidad del Norte Colombia; Universidad del Norte Colombia; Universidad Pedagogica y Tecnologica de Colombia (UPTC)</t>
  </si>
  <si>
    <t>Paredes, V (corresponding author), Univ Norte, Dept Mech Engn, Barranquilla 080001, Colombia.</t>
  </si>
  <si>
    <t>paredesv@uninorte.edu.co</t>
  </si>
  <si>
    <t>DUGARTE, MARGARETH/HNJ-6393-2023</t>
  </si>
  <si>
    <t>DUGARTE, MARGARETH/0000-0002-2448-7082</t>
  </si>
  <si>
    <t>Universidad del Norte de Colombia</t>
  </si>
  <si>
    <t>This research has the financial support of the Universidad del Norte de Colombia, Monomeros Colombo Venezolanos S.A and INCITEMA de Colombia.</t>
  </si>
  <si>
    <t>Ahmad Z, 2006, PRINCIPLES OF CORROSION ENGINEERING AND CORROSION CONTROL, P1; Albrecht P., 2003, PERSPECT CIV ENG COM, V15, P321; Alcantara J, 2015, CORROS SCI, V97, P74, DOI 10.1016/j.corsci.2015.04.015; Alcantara J, 2017, MATERIALS, V10, DOI 10.3390/ma10040406; Almeida E, 2000, MATER CORROS, V51, P865, DOI 10.1002/1521-4176(200012)51:12&lt;865::AID-MACO865&gt;3.3.CO;2-J; [Anonymous], 2015, G5010 ASTM INT; [Anonymous], 1995, D220095 ASTM INT; [Anonymous], 2013, G4694 ASTM INT; [Anonymous], 2014, D454117 ASTM INT; [Anonymous], 2006, D71402 ASTM INT; [Anonymous], 2003, G9286 ASTM INT; [Anonymous], 2001, D61008 ASTM INT; [Anonymous], 2017, 1294422017 ISO; [Anonymous], 2015, G3399 ASTM INT; [Anonymous], 2011, G103 ASTM INT; [Anonymous], 2012, 92232012 ISO; [Anonymous], 2018, G4694 ASTM; [Anonymous], 2012, D335909 ASTM INT; Asami K, 2003, CORROS SCI, V45, P2671, DOI 10.1016/S0010-938X(03)00070-2; Audivet C, 2021, CT F-CIENC TECN FUT, V11, P11, DOI 10.29047/01225383.254; Boswell-Koller CN, 2019, CORROSION-US, V75, P498, DOI 10.5006/2970; Boudouane I, 2019, 4TH INTERNATIONAL CONFERENCE ON SMART CITY APPLICATIONS (SCA' 19), DOI 10.1145/3368756.3369053; Cai YK, 2018, CORROSION-US, V74, P669, DOI 10.5006/2706; Castano JG, 2010, CORROS SCI, V52, P216, DOI 10.1016/j.corsci.2009.09.006; Chen WJ, 2014, CORROS SCI, V83, P155, DOI 10.1016/j.corsci.2014.02.010; Choi W, 2021, CORROSION-US, V77, P53, DOI 10.5006/3622; Chung PP, 2019, FRICTION, V7, P389, DOI 10.1007/s40544-019-0304-4; COD, CRYSTALOGRAPHY OPEN; Coelho LB, 2020, SURF COAT TECH, V382, DOI 10.1016/j.surfcoat.2019.125175; Cook DC, 2005, CORROS SCI, V47, P2550, DOI 10.1016/j.corsci.2004.10.018; de la Fuente D, 2011, CORROS SCI, V53, P604, DOI 10.1016/j.corsci.2010.10.007; DEARDEN J, 1948, J IRON STEEL I, V159, P241; Diaz I, 2010, PROG ORG COAT, V69, P278, DOI 10.1016/j.porgcoat.2010.06.007; Edavan RP, 2009, CORROS SCI, V51, P2429, DOI 10.1016/j.corsci.2009.06.028; El-Mahdy GA, 2000, CORROS SCI, V42, P183, DOI 10.1016/S0010-938X(99)00057-8; Feliu S., CORROSION PROTECCION; Feng ZL, 2020, PROG ORG COAT, V147, DOI 10.1016/j.porgcoat.2020.105799; Fenker M, 2014, SURF COAT TECH, V257, P182, DOI 10.1016/j.surfcoat.2014.08.069; FUNKE W, 1981, PROG ORG COAT, V9, P29, DOI 10.1016/0033-0655(81)80014-3; Garcia R., 2010, J MARIT RES, V7, P3; Han W, 2015, J MATER ENG PERFORM, V24, P864, DOI 10.1007/s11665-014-1329-5; Huang JC, 2019, ENVIRON POLLUT, V251, P885, DOI 10.1016/j.envpol.2019.05.073; IDEAM, US; IDEAM, 2015, RES NO 2744 21 DIC 2; Jena G, 2020, SURF COAT TECH, V397, DOI 10.1016/j.surfcoat.2020.125942; Ji ZG, 2021, CORROSION-US, V77, P1178, DOI 10.5006/3879; Koch G., 2016, INT MEASURES PREVENT; Koushik BG, 2021, J MATER SCI TECHNOL, V62, P254, DOI 10.1016/j.jmst.2020.04.061; Kusmierek E, 2015, DATA BRIEF, V3, P149, DOI 10.1016/j.dib.2015.02.017; Lazorenko G, 2021, CONSTR BUILD MATER, V288, DOI 10.1016/j.conbuildmat.2021.123115; Lee SG, 1997, J MATER SCI LETT, V16, P902, DOI 10.1023/A:1018584004364; Lv SL, 2013, MATER DESIGN, V45, P96, DOI 10.1016/j.matdes.2012.08.034; Ma YT, 2010, CORROS SCI, V52, P1796, DOI 10.1016/j.corsci.2010.01.022; Ma YT, 2009, CORROS SCI, V51, P997, DOI 10.1016/j.corsci.2009.02.009; Ma YT, 2008, MATER CHEM PHYS, V112, P844, DOI 10.1016/j.matchemphys.2008.06.066; Melchers RE, 2013, CORROS SCI, V68, P186, DOI 10.1016/j.corsci.2012.11.014; Melia MA, 2021, CORROSION-US, V77, P1003, DOI 10.5006/3793; Morcillo M, 2019, CONSTR BUILD MATER, V213, P723, DOI 10.1016/j.conbuildmat.2019.03.334; Morcillo M, 2000, CORROS SCI, V42, P91, DOI 10.1016/S0010-938X(99)00048-7; Mu A, 2009, CORROS ENV, V16, P7; Natesan M, 2008, SCI TECHNOL ADV MAT, V9, DOI 10.1088/1468-6996/9/4/045002; Oh SJ, 1999, CORROS SCI, V41, P1687, DOI 10.1016/S0010-938X(99)00005-0; Papavinasam S., 2013, CORROSION CONTROL OI; Paul S, 2018, CORROS SCI TECHNOL-K, V17, P249, DOI 10.14773/cst.2018.17.5.249; Pei ZB, 2021, J MATER SCI TECHNOL, V64, P214, DOI 10.1016/j.jmst.2020.01.023; Pino E., 2015, Corros. Prot. Mater., V34, P35; Rodriguez JJS, 2002, CORROS SCI, V44, P2425, DOI 10.1016/S0010-938X(02)00047-1; Rozenfeld I.L., 1972, ATMOSPHERIC CORROSIO; Sangaj NS, 2004, PROG ORG COAT, V50, P28, DOI 10.1016/j.porgcoat.2003.09.015; Schikorr G, 1963, WERKST KORROS, V14, P2; Simancas J., 1998, REV MET, V34, P132; Soares CG, 2009, CORROS SCI, V51, P2014, DOI 10.1016/j.corsci.2009.05.028; Suárez-Corrales Xenia Isbel, 2014, Ing. invest. y tecnol., V15, P29; Vera R, 2003, CORROS SCI, V45, P321, DOI 10.1016/S0010-938X(02)00071-9; Vernon WHJ, 1935, T FARADAY SOC, V31, P1668, DOI 10.1039/tf9353101668; Wang Y, 2021, J MATER SCI TECHNOL, V76, P41, DOI 10.1016/j.jmst.2020.11.021; Wang ZF, 2013, CORROS SCI, V67, P1, DOI 10.1016/j.corsci.2012.09.020; Zhang QC, 2003, MATER CHEM PHYS, V77, P603, DOI 10.1016/S0254-0584(02)00103-7; Zhang Z., 2020, CORROSION-US, V76, P773; Zhi YJ, 2020, J MATER SCI TECHNOL, V49, P202, DOI 10.1016/j.jmst.2020.01.044; Zhou SG, 2019, MATER DESIGN, V169, DOI 10.1016/j.matdes.2019.107694; Zisman A. A., 2014, Inorganic Materials: Applied Research, V5, P570, DOI 10.1134/S2075113314060112; Zubielewicz M, 2021, PROG ORG COAT, V161, DOI 10.1016/j.porgcoat.2021.106471</t>
  </si>
  <si>
    <t>NATL ASSOC CORROSION ENG</t>
  </si>
  <si>
    <t>HOUSTON</t>
  </si>
  <si>
    <t>1440 SOUTH CREEK DRIVE, HOUSTON, TX 77084-4906 USA</t>
  </si>
  <si>
    <t>0010-9312</t>
  </si>
  <si>
    <t>1938-159X</t>
  </si>
  <si>
    <t>CORROSION-US</t>
  </si>
  <si>
    <t>Corrosion</t>
  </si>
  <si>
    <t>10.5006/3964</t>
  </si>
  <si>
    <t>Materials Science, Multidisciplinary; Metallurgy &amp; Metallurgical Engineering</t>
  </si>
  <si>
    <t>8T0ZR</t>
  </si>
  <si>
    <t>WOS:000928999300001</t>
  </si>
  <si>
    <t>Gaona, I. M. Saavedra; Munevar, J.; Vargas, C. A. Parra</t>
  </si>
  <si>
    <t>Evaluation of rare earth substitution in the structural and magnetic properties of the REBa1-xSrxCuFeO5 (x = 0.0, 0.25 and 0.5) system (vol 280, 115719, 2022)</t>
  </si>
  <si>
    <t>Correction</t>
  </si>
  <si>
    <t>[Gaona, I. M. Saavedra; Vargas, C. A. Parra] Univ Pedag &amp; Tecnol Colombia, Grp Fis Mat, Ave Cent Norte 39-115, Tunja 150003, Colombia; [Munevar, J.] Univ Fed ABC UFABC, Ctr Ciencias Nat &amp; Humanas CCNH, BR-09210580 Santo Andre, SP, Brazil</t>
  </si>
  <si>
    <t>Gaona, IMS (corresponding author), Univ Pedag &amp; Tecnol Colombia, Grp Fis Mat, Ave Cent Norte 39-115, Tunja 150003, Colombia.</t>
  </si>
  <si>
    <t>Gaona IMS, 2022, MATER SCI ENG B-ADV, V280, DOI 10.1016/j.mseb.2022.115719</t>
  </si>
  <si>
    <t>10.1016/j.mseb.2022.115762</t>
  </si>
  <si>
    <t>1X6MN</t>
  </si>
  <si>
    <t>WOS:000807566600001</t>
  </si>
  <si>
    <t>Vasquez, Y; Neculita, CM; Caicedo, G; Cubillos, J; Franco, J; Vasquez, M; Hernandez, A; Roldan, F</t>
  </si>
  <si>
    <t>Vasquez, Yaneth; Neculita, Carmen M.; Caicedo, Gerardo; Cubillos, Jairo; Franco, Jair; Vasquez, Mario; Hernandez, Angie; Roldan, Fabio</t>
  </si>
  <si>
    <t>Passive multi-unit field-pilot for acid mine drainage remediation: Performance and environmental assessment of post-treatment solid waste</t>
  </si>
  <si>
    <t>Acid mine drainage (AMD); Dispersed alkaline substrate (DAS); Passive biochemical reactors (PBRs); Colombia Andean Paramo; Post-treatment solid waste</t>
  </si>
  <si>
    <t>SEQUENTIAL EXTRACTION PROCEDURE; HYDRAULIC RETENTION TIME; SULFATE; REMOVAL; IRON; BIOREACTORS; SPECIATION; EFFICIENCY; REACTORS</t>
  </si>
  <si>
    <t>This study evaluated the performance of a passive multi-unit field-pilot operating for 16 months to treat acid mine drainage (AMD) from a coal mine in Colombia Andean Paramo. The multi-unit field-pilot involved a combination of a pre-treatment unit (550 L) filled with dispersed alkaline substrate (DAS), and six passive biochemical reactors (PBRs; 220 L) under two configurations: open (PBRs-A) and closed (PBRs-B) to the atmosphere. The AMD quality was 1200 +/- 91 mg L-1 Fe, 38.0 +/- 1.3 mg L-1 Mn, 8.5 +/- 1.6 mg L-1 Zn, and 3200 +/- 183.8 mg L-1 SO42-, at pH 2.8. The input and output effluents were monitored to establish AMD remediation. Physicochemical stability of the post-treatment solids, including metals (Fe2+, Zn2+, and Mn2+) and sulfates for environmental contamination from reactive mixture post-treatment, was also assessed. The passive multi-unit field-pilot achieved a total removal of 74% SO42-, 63% Fe2+, and 48% Mn2+ with the line of PBRs-A, and 91% SO42-, 80% Fe2+, and 66% Mn2+ with the line of PBRs-B, as well as 99% removal for Zn2+ without significant differences (p &lt; 0.05) between the two lines. The study of the physicochemical stability of the post-treatment solids showed they can produce acidic leachates that could release large quantities of Fe and Mn, if they are disposed in oxidizing conditions; contact with water or any other leaching solutions must be avoided. Therefore, these post-treatment solids cannot be disposed of in a municipal landfill. The differences in configuration between PBRs, open or closed to the atmosphere, induced changes in the performance of the passive multi-unit field-pilot during AMD remediation.</t>
  </si>
  <si>
    <t>[Vasquez, Yaneth; Franco, Jair; Vasquez, Mario] Univ Cent, Fac Ingn &amp; Ciencias Basicas, Cra 5 21-38, Bogota, Colombia; [Neculita, Carmen M.] Univ Quebec Abitibi Temiscamingue UQAT, Res Inst Mines &amp; Environm RIME, 445 Blvd Univ, Rouyn Noranda, PQ J9X 5E4, Canada; [Caicedo, Gerardo; Cubillos, Jairo; Hernandez, Angie] Univ Pedag &amp; Tecnol Colombia UPTC, Fac Ciencias, Grp Catalisis GC UPTC, Escuela Ciencias Quim, Ave Cent Norte 39-115, Tunja, Colombia; [Roldan, Fabio] Pontificia Univ Javeriana, Dept Biol, Unidad Saneamiento &amp; Biotecnol Ambiental USBA, Cra 7 40-62, Bogota, Colombia</t>
  </si>
  <si>
    <t>University of Quebec; University Quebec Abitibi-Temiscamingue; Universidad Pedagogica y Tecnologica de Colombia (UPTC); Pontificia Universidad Javeriana</t>
  </si>
  <si>
    <t>Vasquez, Y (corresponding author), Univ Cent, Fac Ingn &amp; Ciencias Basicas, Cra 5 21-38, Bogota, Colombia.</t>
  </si>
  <si>
    <t>ovasquezo@ucentral.edu.co</t>
  </si>
  <si>
    <t>Vasquez, Yaneth/0000-0002-3595-8177; Caicedo Pineda, Gerardo Andres/0000-0003-2320-0980; Neculita, Carmen Mihaela/0000-0002-8388-7916; Roldan, Fabio/0000-0002-9516-7641</t>
  </si>
  <si>
    <t>Ministry of Science, Technology, and Innovation (MINCIENCIAS), Colombia [120377657722]</t>
  </si>
  <si>
    <t>Ministry of Science, Technology, and Innovation (MINCIENCIAS), Colombia</t>
  </si>
  <si>
    <t>This work was supported by the Ministry of Science, Technology, and Innovation (MINCIENCIAS) , Colombia [grant number: 120377657722] .The authors acknowledge company C.I. MILPA and engineer Javier Lopez for assistance during fieldwork.</t>
  </si>
  <si>
    <t>ASTM (American Society for Testing and Materials, 2012, D441284 ASTM, P108; ASTM (American Society for Testing and Materials), 1995, D497295A ASTM, P27; ASTM (American Society for Testing and Materials, 1999, D221692 ASTM, P178; Ayora C, 2013, ENVIRON SCI POLLUT R, V20, P7837, DOI 10.1007/s11356-013-1479-2; Ben Ali HE, 2020, CHEMOSPHERE, V243, DOI 10.1016/j.chemosphere.2019.125303; ben Ali HE, 2019, MINER ENG, V134, P325, DOI 10.1016/j.mineng.2019.02.010; Pereira TCB, 2020, CHEMOSPHERE, V253, DOI 10.1016/j.chemosphere.2020.126665; Butler B., 2014, 542R14001 EPA; Caraballo MA, 2018, J HAZARD MATER, V360, P587, DOI 10.1016/j.jhazmat.2018.08.046; Caraballo MA, 2011, ENVIRON POLLUT, V159, P3613, DOI 10.1016/j.envpol.2011.08.003; Chen HY, 2020, BIORESOURCE TECHNOL, V317, DOI 10.1016/j.biortech.2020.123985; Clesceri L. S., 2005, STANDARD METHODS EXA; Fan JH, 2019, WATER SCI ENG, V12, P213, DOI 10.1016/j.wse.2019.09.003; Fernandez-Rojo L, 2018, APPL MICROBIOL BIOT, V102, P9803, DOI 10.1007/s00253-018-9290-0; Freire M, 2015, WASTE MANAGE, V46, P304, DOI 10.1016/j.wasman.2015.08.036; Genty T, 2018, MINE WATER ENVIRON, V37, P686, DOI 10.1007/s10230-018-0514-4; Genty T, 2017, WATER SCI TECHNOL, V76, P1833, DOI 10.2166/wst.2017.362; Genty T, 2012, MINE WATER ENVIRON, V31, P273, DOI 10.1007/s10230-012-0199-z; Gibert O, 2013, ENVIRON SCI POLLUT R, V20, P7854, DOI 10.1007/s11356-013-1507-2; Habe H, 2020, APPL MICROBIOL BIOT, V104, P6893, DOI 10.1007/s00253-020-10737-2; ITRC (Interstate Technology &amp; Regulatory Council), 2013, BCR1 ITRC; Jong T, 2004, J ENVIRON MONITOR, V6, P278, DOI 10.1039/b316586h; Jouini M, 2020, J ENVIRON MANAGE, V269, DOI 10.1016/j.jenvman.2020.110764; Jouini M, 2020, SCI TOTAL ENVIRON, V712, DOI 10.1016/j.scitotenv.2020.136541; Jouini M, 2019, APPL GEOCHEM, V110, DOI 10.1016/j.apgeochem.2019.104421; Jouini M, 2019, ENVIRON SCI POLLUT R, V26, P35588, DOI 10.1007/s11356-019-04608-1; Le Bourre B, 2020, CHEMOSPHERE, V259, DOI 10.1016/j.chemosphere.2020.127424; Lefticariu L, 2017, MINERALS-BASEL, V7, DOI 10.3390/min7030041; Lefticariu L, 2015, APPL GEOCHEM, V63, P70, DOI 10.1016/j.apgeochem.2015.08.002; Lounate K, 2020, MINE WATER ENVIRON, V39, P769, DOI 10.1007/s10230-020-00702-w; Macias F, 2012, SCI TOTAL ENVIRON, V433, P323, DOI 10.1016/j.scitotenv.2012.06.084; Macias F, 2012, J HAZARD MATER, V229, P107, DOI 10.1016/j.jhazmat.2012.05.080; Maresca A, 2018, WASTE MANAGE, V74, P373, DOI 10.1016/j.wasman.2017.11.056; McIntyre N, 2018, WATER-SUI, V10, DOI 10.3390/w10030268; Ministerio de Ambiente y Desarrollo Sostenible de Colombia, DECR 4741 2005 CUAL; Ministerio de Ambiente y Desarrollo Sostenible de Colombia, 2015, RES 0631 CUAL SE EST; Mirjafari P, 2016, WATER-SUI, V8, DOI 10.3390/w8040124; Neculita C.M., 2021, HARD ROCK MINE RECLA, P271, DOI [10.1201/9781315166698/-11, DOI 10.1201/9781315166698/-11]; Neculita CM, 2019, CHEMOSPHERE, V214, P491, DOI 10.1016/j.chemosphere.2018.09.106; Neculita CM, 2008, APPL GEOCHEM, V23, P3545, DOI 10.1016/j.apgeochem.2008.08.014; Orden S, 2021, J ENVIRON MANAGE, V280, DOI 10.1016/j.jenvman.2020.111699; Rakotonimaro TV, 2018, ENVIRON SCI POLLUT R, V25, P17575, DOI 10.1007/s11356-018-1820-x; Rakotonimaro TV, 2016, APPL GEOCHEM, V73, P13, DOI 10.1016/j.apgeochem.2016.07.014; Schumacher B.A., 2002, METHODS DETERMINATIO; Schwarz A, 2020, WATER-SUI, V12, DOI 10.3390/w12030854; Sharma S, 2020, CHEMOSPHERE, V249, DOI 10.1016/j.chemosphere.2020.126117; Skousen J, 2017, MINE WATER ENVIRON, V36, P133, DOI 10.1007/s10230-016-0417-1; Song H, 2012, J ENVIRON MANAGE, V111, P150, DOI 10.1016/j.jenvman.2012.06.043; TESSIER A, 1979, ANAL CHEM, V51, P844, DOI 10.1021/ac50043a017; USEPA, 1992, SW846 USEPA; USEPA, 2000, 823B9400004 USEPA; USEPA, 2001, 7000B USEPA; Vargas A.B., 2016, REV CESLA, P33; Vasquez Y, 2018, BIORESOURCE TECHNOL, V247, P624, DOI 10.1016/j.biortech.2017.09.144; Vasquez Y, 2016, CHEMOSPHERE, V153, P244, DOI 10.1016/j.chemosphere.2016.03.052; Vasquez Y, 2016, ENVIRON EARTH SCI, V75, DOI 10.1007/s12665-016-5374-2; Wang XM, 2021, CHEMOSPHERE, V262, DOI 10.1016/j.chemosphere.2020.127567</t>
  </si>
  <si>
    <t>10.1016/j.chemosphere.2021.133051</t>
  </si>
  <si>
    <t>ZD6AI</t>
  </si>
  <si>
    <t>WOS:000758280300006</t>
  </si>
  <si>
    <t>Pineda, MEB; Forero, LML; Sierra, CA</t>
  </si>
  <si>
    <t>Pineda, Mayra Eleonora Beltran; Forero, Luz Marina Lizarazo; Sierra, Cesar A.</t>
  </si>
  <si>
    <t>Mycosynthesis of silver nanoparticles: a review</t>
  </si>
  <si>
    <t>BIOMETALS</t>
  </si>
  <si>
    <t>Fungi; Green chemistry; Silver nanoparticles; Patents; Biological synthesis</t>
  </si>
  <si>
    <t>GREEN SYNTHESIS; EXTRACELLULAR BIOSYNTHESIS; ANTIMICROBIAL ACTIVITY; BIOLOGICAL SYNTHESIS; ENDOPHYTIC FUNGUS; IN-VITRO; METAL NANOPARTICLES; ANTIFUNGAL ACTIVITY; GOLD NANOPARTICLES; FUSARIUM-OXYSPORUM</t>
  </si>
  <si>
    <t>Metallic nanoparticles currently show multiple applications in the industrial, clinical and environmental fields due to their particular physicochemical characteristics. Conventional approaches for the synthesis of silver nanoparticles (AgNPs) are based on physicochemical processes which, although they show advantages such as high productivity and good monodispersity of the nanoparticles obtained, have disadvantages such as the high energy cost of the process and the use of harmful radiation or toxic chemical reagents that can generate highly polluting residues. Given the current concern about the environment and the potential cytotoxic effects of AgNPs, once they are released into the environment, a new green chemistry approach to obtain these nanoparticles called biosynthesis has emerged. This new alternative process counteracts some limitations of conventional synthesis methods, using the metabolic capabilities of living beings to manufacture nanomaterials, which have proven to be more biocompatible than their counterparts obtained by traditional methods. Among the organisms used, fungi are outstanding and are therefore being explored as potential nanofactories in an area of research known as mycosynthesis. For all the above, this paper aims to illustrate the advances in state of the art in the mycosynthesis of AgNPs, outlining the two possible mechanisms involved in the process, as well as the AgNPs stabilizing substances produced by fungi, the variables that can affect mycosynthesis at the in vitro level, the applications of AgNPs obtained by mycosynthesis, the patents generated to date in this field, and the limitations encountered by researchers in the area.</t>
  </si>
  <si>
    <t>[Pineda, Mayra Eleonora Beltran] Univ Nacl Colombia, Tunja, Colombia; [Pineda, Mayra Eleonora Beltran] Univ Boyaca, Grp Invest Macromol UN, Grp Invest Biol Ambiental UPTC, Grp Invest Gest Ambiental,Biotecnol, Tunja, Colombia; [Forero, Luz Marina Lizarazo] Univ Pedag &amp; Tecnol Colombia, Grp Invest Biol Ambiental, Tunja, Colombia; [Sierra, Cesar A.] Univ Nacl Colombia, Grp Invest Macromol, Bogota, Colombia</t>
  </si>
  <si>
    <t>Pineda, MEB (corresponding author), Univ Nacl Colombia, Tunja, Colombia.;Pineda, MEB (corresponding author), Univ Boyaca, Grp Invest Macromol UN, Grp Invest Biol Ambiental UPTC, Grp Invest Gest Ambiental,Biotecnol, Tunja, Colombia.</t>
  </si>
  <si>
    <t>mebeltranp@unal.edu.co</t>
  </si>
  <si>
    <t>Science, Technology, and Innovation Fund of the General Royalties System FCTeI-SGR; National University of Colombia;  [HERMES 47144]</t>
  </si>
  <si>
    <t xml:space="preserve">Science, Technology, and Innovation Fund of the General Royalties System FCTeI-SGR; National University of Colombia; </t>
  </si>
  <si>
    <t>This study was financed with resources from the Science, Technology, and Innovation Fund of the General Royalties System FCTeI-SGR attached to the Department of Boyaca. And through the HERMES 47144 project of the National University of Colombia; Biosynthesis of silver nano-particles from rhizospheric fungi and its immobilization in a natural fiber for in vitro control of phytopathogenic bacteria (Pectobacterium carotovorum).Gobernacion de Boyaca, call 733 of 2015,Mayra Eleonora Beltran Pineda</t>
  </si>
  <si>
    <t>Abbasi E, 2016, CRIT REV MICROBIOL, V42, P173, DOI 10.3109/1040841X.2014.912200; AbdelRahim K, 2017, SAUDI J BIOL SCI, V24, P208, DOI 10.1016/j.sjbs.2016.02.025; Ahluwalia V, 2014, IND CROP PROD, V55, P202, DOI 10.1016/j.indcrop.2014.01.026; Ahmad A, 2003, COLLOID SURFACE B, V28, P313, DOI 10.1016/S0927-7765(02)00174-1; Al-Askar AA., 2013, LIFE SCI J, V10, P2470; Al-Juraifani A. A. A., 2015, African Journal of Biotechnology, V14, P2170; Alghuthaymi MA, 2015, BIOTECHNOL BIOTEC EQ, V29, P221, DOI 10.1080/13102818.2015.1008194; Amerasan D, 2016, J PEST SCI, V89, P249, DOI 10.1007/s10340-015-0675-x; Anbazhagan S, 2017, 3 BIOTECH, V7, DOI 10.1007/s13205-017-0961-9; [Anonymous], 2011, INSCIENCES J, DOI [10.5640/insc.010165, DOI 10.5640/INSC.010165]; Antony JJ, 2011, COLLOID SURFACE B, V88, P134, DOI 10.1016/j.colsurfb.2011.06.022; Arland P, 2006, BIORESOURCE TECHNOL, V97, P1018, DOI 10.1016/j.biortech.2005.04.046; Ashajyothi C., 2016, Environmental Nanotechnology, Monitoring and Management, V5, P81, DOI 10.1016/j.enmm.2016.04.002; Asmathunisha N, 2013, COLLOID SURFACE B, V103, P283, DOI 10.1016/j.colsurfb.2012.10.030; Awad MA, 2022, J FUNGI, V8, DOI 10.3390/jof8040396; Azmath P, 2016, SAUDI PHARM J, V24, P140, DOI 10.1016/j.jsps.2015.01.008; Bagur H, 2022, MATER TECHNOL, V37, P167, DOI 10.1080/10667857.2020.1819089; Balaji DS, 2009, COLLOID SURFACE B, V68, P88, DOI 10.1016/j.colsurfb.2008.09.022; Balakumaran MD, 2016, MICROBIOL RES, V182, P8, DOI 10.1016/j.micres.2015.09.009; Balakumaran MD, 2015, MICROBIOL RES, V178, P9, DOI 10.1016/j.micres.2015.05.009; Basavaraja S, 2008, MATER RES BULL, V43, P1164, DOI 10.1016/j.materresbull.2007.06.020; Bawaskar M, 2010, CURR NANOSCI, V6, P376, DOI 10.2174/157341310791658919; Beveridge TJ, 1997, ADV MICROB PHYSIOL, V38, P177; Beyene HD, 2017, SUSTAIN MATER TECHNO, V13, P18, DOI 10.1016/j.susmat.2017.08.001; Bfilainsa KC, 2006, COLLOID SURFACE B, V47, P160, DOI 10.1016/j.colsurfb.2005.11.026; Bhat R, 2012, INT J SCI RES C PROC, V1, P314; Bhattacharya D, 2005, CRIT REV BIOTECHNOL, V25, P199, DOI 10.1080/07388550500361994; Binupriya AR, 2010, COLLOID SURFACE B, V79, P531, DOI 10.1016/j.colsurfb.2010.05.021; Birla SS, 2009, LETT APPL MICROBIOL, V48, P173, DOI 10.1111/j.1472-765X.2008.02510.x; Birla SS, 2013, SCI WORLD J, DOI 10.1155/2013/796018; Biswas S, 2016, ADV NAT SCI-NANOSCI, V7, DOI 10.1088/2043-6262/7/4/045005; Caballero N, 2008, Patente, Patent No. [WO2008/034207Al.Brasil, 2008034207]; Calderon-Jimenez B, 2022, SCI REP-UK, V12, DOI 10.1038/s41598-022-04921-9; Carbone M, 2016, J KING SAUD UNIV SCI, V28, P273, DOI 10.1016/j.jksus.2016.05.004; Castro-Longoria E, 2011, COLLOID SURFACE B, V83, P42, DOI 10.1016/j.colsurfb.2010.10.035; Cavassin ED, 2015, J NANOBIOTECHNOL, V13, DOI 10.1186/s12951-015-0120-6; Chan YS, 2013, MAT SCI ENG C-MATER, V33, P282, DOI 10.1016/j.msec.2012.08.041; Chen HD, 2011, TRENDS FOOD SCI TECH, V22, P585, DOI 10.1016/j.tifs.2011.09.004; Chen JC, 2003, LETT APPL MICROBIOL, V37, P105, DOI 10.1046/j.1472-765X.2003.01348.x; Cunha FA, 2018, WORLD J MICROB BIOT, V34, DOI 10.1007/s11274-018-2514-8; da Silva PB, 2019, CURR MED CHEM, V26, P2108, DOI 10.2174/0929867325666180214102918; DAMERON CT, 1989, NATURE, V338, P596, DOI 10.1038/338596a0; De Souza A, 2015, BIOSYNTHESIS SILVER; Devi Lamabam Sophiya, 2015, J Microsc Ultrastruct, V3, P29, DOI 10.1016/j.jmau.2014.10.004; Dhanasekaran D., 2011, NANOTECHNOLOGY, V3, P72; Dhillon GS, 2012, CRIT REV BIOTECHNOL, V32, P49, DOI 10.3109/07388551.2010.550568; Du LW, 2015, MATER CHEM PHYS, V160, P40, DOI 10.1016/j.matchemphys.2015.04.003; Duran N, 2007, J BIOMED NANOTECHNOL, V3, P203, DOI 10.1166/jbn.2007.022; Duran Nelson, 2005, J Nanobiotechnology, V3, P8, DOI 10.1186/1477-3155-3-8; Duran N, 2011, APPL MICROBIOL BIOT, V90, P1609, DOI 10.1007/s00253-011-3249-8; EL-Moslamy SH, 2017, SCI REP-UK, V7, DOI 10.1038/srep45297; Elahian F, 2017, NANOMED-NANOTECHNOL, V13, P853, DOI 10.1016/j.nano.2016.10.009; Elizabath A., 2019, INT J PURE APPL BIOS, V7, P131, DOI [10.18782/2320-7051.6493, DOI 10.18782/2320-7051.6493]; Fathima BS, 2014, MATER LETT, V132, P428, DOI 10.1016/j.matlet.2014.06.143; Fatima F, 2015, BMC MICROBIOL, V15, DOI 10.1186/s12866-015-0391-y; Fayaz AM, 2009, J AGR FOOD CHEM, V57, P6246, DOI 10.1021/jf900337h; Fernandez JG, 2016, PROCESS BIOCHEM, V51, P1306, DOI 10.1016/j.procbio.2016.05.021; Gade AK, 2008, J BIOBASED MATER BIO, V2, P243, DOI 10.1166/jbmb.2008.401; Gade A, 2014, MICRON, V59, P52, DOI 10.1016/j.micron.2013.12.005; Gaikwad SC, 2013, J BRAZIL CHEM SOC, V24, P1974, DOI 10.5935/0103-5053.20130247; Gajbhiye M, 2009, NANOMED-NANOTECHNOL, V5, P382, DOI 10.1016/j.nano.2009.06.005; Gao WW, 2014, WIRES NANOMED NANOBI, V6, P532, DOI 10.1002/wnan.1282; Gericke M, 2006, HYDROMETALLURGY, V83, P132, DOI 10.1016/j.hydromet.2006.03.019; Gholami-Shabani M, 2014, APPL BIOCHEM BIOTECH, V172, P4084, DOI 10.1007/s12010-014-0809-2; Gnanamangai B, 2012, Patent, Patent No. [US2012/0108425A1, 20120108425]; Gudikandula K., 2017, OPEN NANO, V2, P64, DOI [10.1016/j.onano.2017.07.002, DOI 10.1016/J.ONANO.2017.07.002]; Hamedi S, 2017, ARTIF CELL NANOMED B, V45, P1588, DOI 10.1080/21691401.2016.1267011; Hamedi S, 2014, WORLD J MICROB BIOT, V30, P693, DOI 10.1007/s11274-013-1417-y; Hemath Naveen KS., 2010, APPL SCI RES, V2, P161; Honary S, 2013, TROP J PHARM RES, V12, P7, DOI 10.4314/tjpr.v12i1.2; Hulkoti NI, 2014, COLLOID SURFACE B, V121, P474, DOI 10.1016/j.colsurfb.2014.05.027; Husseiny S. M., 2015, J BASIC APPL SCI, V4, P225, DOI [DOI 10.1016/J.BJBAS.2015.07.004, 10.1016/j.bjbas.2015.07.004]; Ingale A.G., 2013, J NANOMED NANOTECHOL, V04, DOI [DOI 10.4172/2157-7439.1000165, 10.4172/2157-7439.1000165]; Ingle A, 2008, CURR NANOSCI, V4, P141, DOI 10.2174/157341308784340804; Ingle A, 2009, J NANOPART RES, V11, P2079, DOI 10.1007/s11051-008-9573-y; Jaidev LR, 2010, COLLOID SURFACE B, V81, P430, DOI 10.1016/j.colsurfb.2010.07.033; Jalal M, 2018, NANOMATERIALS-BASEL, V8, DOI 10.3390/nano8080586; Jebali A, 2011, J CLUST SCI, V22, P225, DOI 10.1007/s10876-011-0375-5; Kamil D, 2017, INDIAN J EXP BIOL, V55, P555; Kathiresan K, 2009, COLLOID SURFACE B, V71, P133, DOI 10.1016/j.colsurfb.2009.01.016; KEAT CL, 2015, BIORESOUR BIOPROCESS, V2, P47, DOI DOI 10.1186/S40643-015-0076-2; Khan AU, 2018, BIOPROC BIOSYST ENG, V41, P1, DOI 10.1007/s00449-017-1846-3; Kharissova OV, 2013, TRENDS BIOTECHNOL, V31, P240, DOI 10.1016/j.tibtech.2013.01.003; Kirthi AV, 2012, MATER LETT, V81, P69, DOI 10.1016/j.matlet.2012.04.103; Korbekandi H, 2009, CRIT REV BIOTECHNOL, V29, P279, DOI 10.3109/07388550903062462; Kotval S., 2016, J CHEM BIOL PHYS SCI, V6, P997; Kowshik M, 2003, NANOTECHNOLOGY, V14, P95, DOI 10.1088/0957-4484/14/1/321; Kumar RR, 2012, J NANOPART RES, V14, DOI 10.1007/s11051-012-0860-2; Kumar SA, 2007, BIOTECHNOL LETT, V29, P439, DOI 10.1007/s10529-006-9256-7; Li GQ, 2012, INT J MOL SCI, V13, P466, DOI 10.3390/ijms13010466; Li Yao, 2017, Patent, Patent No. [CN107653267A, 107653267]; Liong M, 2009, ADV MATER, V21, P1684, DOI 10.1002/adma.200802646; Ma L, 2017, MAT SCI ENG C-MATER, V77, P963, DOI 10.1016/j.msec.2017.03.294; Madakka M, 2018, METHODSX, V5, P20, DOI 10.1016/j.mex.2017.12.003; Majeed S, 2016, J TAIBAH UNIV SCI, V10, P614, DOI 10.1016/j.jtusci.2016.02.010; Maliszewska I, 2009, J PHYS CONF SER, V146, DOI 10.1088/1742-6596/146/1/012025; Maliszewska I, 2014, J CLUST SCI, V25, P989, DOI 10.1007/s10876-013-0683-z; Mandal D, 2006, APPL MICROBIOL BIOT, V69, P485, DOI 10.1007/s00253-005-0179-3; Manimozhi R, 2014, INT J PHARM DRUG ANA, V2, P734; Mansoori G., 2010, Patent, Patent No. [US2010/0055199A1, 20100055199]; Marsili E, 2016, ENZYME MICROB TECH, V95, P1, DOI 10.1016/j.enzmictec.2016.10.017; Mekkawy AI, 2017, INT J NANOMED, V12, P759, DOI 10.2147/IJN.S124294; Meyer V, 2008, BIOTECHNOL ADV, V26, P177, DOI 10.1016/j.biotechadv.2007.12.001; Mishra S, 2015, APPL MICROBIOL BIOT, V99, P1097, DOI 10.1007/s00253-014-6296-0; Moghaddam AB, 2015, MOLECULES, V20, P16540, DOI 10.3390/molecules200916540; Mohammadian A, 2007, SCI IRAN, V14, P323; Mohammed O, 2019, J PHYS C SER, DOI [10.1088/1742-6596/1294/6/062075, DOI 10.1088/1742-6596/1294/6/062075]; Mohanpuria P, 2008, J NANOPART RES, V10, P507, DOI 10.1007/s11051-007-9275-x; Moharekar V, 2014, INT J INNOV PHARM SC, V2, P1915, DOI [10.1166/jbmb.2008.401, DOI 10.1166/JBMB.2008.401]; Mokhtari N, 2009, MATER RES BULL, V44, P1415, DOI 10.1016/j.materresbull.2008.11.021; Moritz M, 2013, CHEM ENG J, V228, P596, DOI 10.1016/j.cej.2013.05.046; Morsi RE, 2017, INT J BIOL MACROMOL, V97, P264, DOI 10.1016/j.ijbiomac.2017.01.032; Moteshafi H, 2012, J IND ENG CHEM, V18, P2046, DOI 10.1016/j.jiec.2012.05.025; Moustafa M.T., 2017, WAT SCI, V31, P164, DOI 10.1016/j.wsj.2017.11.001; Mukherjee P, 2008, NANOTECHNOLOGY, V19, DOI 10.1088/0957-4484/19/7/075103; Mukherjee P, 2001, NANO LETT, V1, P515, DOI 10.1021/nl0155274; Mukherjee P, 2004, CHEM BIOCH, P461, DOI [10.1002/1439-7633(20020503)3:5%3C461::AID-CBIC461%3E3.0.CO;2-X, DOI 10.1002/1439-7633(20020503)3:5%3C461::AID-CBIC461%3E3.0.CO;2-X]; Mukherjee S, 2014, THERANOSTICS, V4, P316, DOI 10.7150/thno.7819; Musarrat J, 2010, BIORESOURCE TECHNOL, V101, P8772, DOI 10.1016/j.biortech.2010.06.065; Mustapha T, 2022, INT J ENV RES PUB HE, V19, DOI 10.3390/ijerph19020674; Nam G, 2016, INT NANO LETT, V6, P51, DOI 10.1007/s40089-015-0168-1; Narayanan KB, 2010, ADV COLLOID INTERFAC, V156, P1, DOI 10.1016/j.cis.2010.02.001; Nayak BK, 2018, BIOCATAL AGRIC BIOTE, V16, P412, DOI 10.1016/j.bcab.2018.09.014; Nayak RR, 2011, J NANOPART RES, V13, P3129, DOI 10.1007/s11051-010-0208-8; Nithya R, 2009, DIG J NANOMATER BIOS, V4, P623; Nithya R, 2010, P DEC DYEC RED ASP N; Ortashi K, 2016, Patent, Patent No. [US9,701,552B1, 9701552]; Ottoni CA, 2017, AMB EXPRESS, V7, DOI 10.1186/s13568-017-0332-2; Owaid MN, 2015, MATER LETT, V153, P186, DOI 10.1016/j.matlet.2015.04.023; Parthasarathy R, 2015, J NANOSCI NANOENG, V1, P241, DOI DOI 10.1002/ANIE.200460990; Perelshtein I, 2008, NANOTECHNOLOGY, V19, DOI 10.1088/0957-4484/19/24/245705; Philip D, 2009, SPECTROCHIM ACTA A, V73, P374, DOI 10.1016/j.saa.2009.02.037; Prabhu S, 2012, INT NANO LETT, V2, DOI 10.1186/2228-5326-2-32; Pradhan N, 2011, NANOSCI NANOTECH LET, V3, P659, DOI 10.1166/nnl.2011.1235; Qian YQ, 2013, BIOPROC BIOSYST ENG, V36, P1613, DOI 10.1007/s00449-013-0937-z; Tran QH, 2013, ADV NAT SCI-NANOSCI, V4, DOI 10.1088/2043-6262/4/3/033001; Quester K, 2013, MICRON, V54-55, P1, DOI 10.1016/j.micron.2013.07.003; Raheman F., 2011, NANO BIOMED ENG, V3, P174, DOI [10.5101/nbe.v3i3.p174-178, DOI 10.5101/NBE.V3I3.P174-178]; Rai M, 2009, BIOTECHNOL ADV, V27, P76, DOI 10.1016/j.biotechadv.2008.09.002; Ramos MM, 2020, BIOTECHNOL LETT, V42, P833, DOI 10.1007/s10529-020-02819-y; Ravindra BK, 2014, INT J PHARM PHARM SC, V6, P372; Reena R, 2017, J NANOMED NANOTECHNO, V8, P4, DOI DOI 10.4172/2157-7439.1000457; Riedel S, 2009, COORDIN CHEM REV, V253, P606, DOI 10.1016/j.ccr.2008.07.014; Rodriguez-Serrano C, 2020, PLOS ONE, V15, DOI 10.1371/journal.pone.0230275; Ronavari A, 2018, INT J NANOMED, V13, P695, DOI 10.2147/IJN.S152010; Roy A, 2019, RSC ADV, V9, P2673, DOI 10.1039/c8ra08982e; Sadowski Z, 2008, MATER SCI-POLAND, V26, P419; Saha S, 2010, DIG J NANOMATER BIOS, V5, P887; Saifuddin N., 2011, Asian Journal of Biochemistry, V6, P142, DOI 10.3923/ajb.2011.142.159; Salvadori MR, 2017, J ENVIRON SCI HEAL A, V52, P1112, DOI 10.1080/10934529.2017.1340754; Sanghi R, 2009, BIORESOURCE TECHNOL, V100, P501, DOI 10.1016/j.biortech.2008.05.048; Saravanana M, 2010, COLLOID SURFACE B, V77, P214, DOI 10.1016/j.colsurfb.2010.01.026; Sarsar V, 2015, J SAUDI CHEM SOC, V19, P682, DOI 10.1016/j.jscs.2014.07.001; Saxena J, 2016, SPRINGERPLUS, V5, DOI 10.1186/s40064-016-2558-x; Schrofel A, 2014, ACTA BIOMATER, V10, P4023, DOI 10.1016/j.actbio.2014.05.022; Shahzad A, 2019, J NANOMATER, V2019, DOI 10.1155/2019/5168698; Shaligram NS, 2009, PROCESS BIOCHEM, V44, P939, DOI 10.1016/j.procbio.2009.04.009; Sharma VK, 2009, ADV COLLOID INTERFAC, V145, P83, DOI 10.1016/j.cis.2008.09.002; Shelar G, 2014, INT J BIOMED ADV, V5, P1, DOI [10.7439/ijbar.v5i7.817, DOI 10.7439/IJBAR.V5I7.817]; Sheng ZY, 2011, WATER RES, V45, P6039, DOI 10.1016/j.watres.2011.08.065; Siddiqi KS, 2018, J NANOBIOTECHNOL, V16, DOI 10.1186/s12951-018-0334-5; Siddiqi KS, 2016, NANOSCALE RES LETT, V11, DOI 10.1186/s11671-016-1311-2; Singh D, 2014, BIOINORG CHEM APPL, V2014, DOI 10.1155/2014/408021; Singh P, 2016, TRENDS BIOTECHNOL, V34, P588, DOI 10.1016/j.tibtech.2016.02.006; Sinha S., 2009, J APPL BIOSCI, V19, P1113; Sintubin L, 2011, APPL MICROBIOL BIOT, V91, P153, DOI 10.1007/s00253-011-3225-3; Subramanian M, 2010, ADV SCI LETT, V3, P428, DOI 10.1166/asl.2010.1168; Sundaramoorthi C, 2009, INT J PHARM RES, V1, P1523; Sunitha A., 2013, NANOBIOMEDICINE ENG, V5, P39; Sweet MJ, 2012, ADV APPL MICROBIOL, V80, P113, DOI 10.1016/B978-0-12-394381-1.00005-2; Thakkar KN, 2010, NANOMED-NANOTECHNOL, V6, P257, DOI 10.1016/j.nano.2009.07.002; Varshney R, 2009, DIG J NANOMATER BIOS, V4, P349; Velhal SG, 2016, INT NANO LETT, V6, P257, DOI 10.1007/s40089-016-0192-9; Verma VC, 2010, NANOMEDICINE-UK, V5, P33, DOI [10.2217/nnm.09.77, 10.2217/NNM.09.77]; Vigneshwaran N, 2007, MATER LETT, V61, P1413, DOI 10.1016/j.matlet.2006.07.042; Waghmare SR, 2015, 3 BIOTECH, V5, P33, DOI 10.1007/s13205-014-0196-y; Xue BJ, 2016, INT J NANOMED, V11, P1899, DOI 10.2147/IJN.S98339; Zhang XL, 2011, CHEMOSPHERE, V82, P489, DOI 10.1016/j.chemosphere.2010.10.023; Zisu H, Patent, Patent No. [CN105935781A, 105935781]; Zomorodian K, 2016, BIOMED RES INT, V2016, DOI 10.1155/2016/5435397</t>
  </si>
  <si>
    <t>0966-0844</t>
  </si>
  <si>
    <t>1572-8773</t>
  </si>
  <si>
    <t>Biometals</t>
  </si>
  <si>
    <t>2022 DEC 9</t>
  </si>
  <si>
    <t>10.1007/s10534-022-00479-1</t>
  </si>
  <si>
    <t>Biochemistry &amp; Molecular Biology</t>
  </si>
  <si>
    <t>6W2QV</t>
  </si>
  <si>
    <t>WOS:000895578100001</t>
  </si>
  <si>
    <t>Morillo-Coronado, AC; Manjarres-Hernandez, EH; Saenz-Quintero, OJ; Morillo-Coronado, Y</t>
  </si>
  <si>
    <t>Cruz Morillo-Coronado, Ana; Helena Manjarres-Hernandez, Elsa; Javier Saenz-Quintero, Oscar; Morillo-Coronado, Yacenia</t>
  </si>
  <si>
    <t>Morphoagronomic Evaluation of Yellow Pitahaya (Selenicereus megalanthus Haw.) in Miraflores, Colombia</t>
  </si>
  <si>
    <t>AGRONOMY-BASEL</t>
  </si>
  <si>
    <t>Selenicereus megalanthus; morphoagronomic descriptors; phenotypic variation; fruit characteristics; cladode characteristics</t>
  </si>
  <si>
    <t>Selenicereus megalanthus is a native fruit tree with broad phenotypic variations that has not been characterized. The objective of this research was to morphoagronomically evaluate yellow pitahaya genotypes in open fields and under cover in the municipality of Miraflores, Boyaca. A diagnostic census of the productive system was carried out. The morphoagronomic characterization used a completely random design with qualitative and quantitative descriptors for fruits and cladodes taken in situ and analyzed with frequency, descriptive, multivariate, conglomerate, and sperm correlation analyses. The pitahaya production system was based on empirical practices carried out by farmers. The weight of the largest fruit in open fields was 219.04 g on average; the average was 186.48 g with the covered system. The open-field systems had the largest genotypes in all the dimensions (length and width). The covered systems had the highest number of fruits per cladode (3.70) and the longest cladodes in the entire study (121.24 cm). Both production systems showed similar values for titratable acidity (0.20), and the soluble solids values were slightly higher in the open-field system than in the covered system (15.20 and 14.66 degrees Brix, respectively), desirable characteristics for the market. Genotypes 7 (under cover) and 3 (open field) presented outstanding morphological and agronomic characteristics. This study identified genotypes that can be included in selection programs for yellow pitahaya in Miraflores, Colombia.</t>
  </si>
  <si>
    <t>[Cruz Morillo-Coronado, Ana; Helena Manjarres-Hernandez, Elsa; Javier Saenz-Quintero, Oscar] Univ Pedag &amp; Tecnol Colombia, Grp CIDE Competitividad Innovac &amp; Desarrollo Empr, Tunja 150003, Colombia; [Morillo-Coronado, Yacenia] Corp Colombiana Invest Agr AGROSAVIA, Palmira 763531, Colombia</t>
  </si>
  <si>
    <t>Morillo-Coronado, AC (corresponding author), Univ Pedag &amp; Tecnol Colombia, Grp CIDE Competitividad Innovac &amp; Desarrollo Empr, Tunja 150003, Colombia.</t>
  </si>
  <si>
    <t>ana.morillo@uptc.edu.co; elsa.manjarres@uptc.edu.co; oscar.saenz02@uptc.edu.co; ymorillo@agrosavia.co</t>
  </si>
  <si>
    <t>Manjarres Hernández, Elsa Helena/0000-0001-6221-8636</t>
  </si>
  <si>
    <t>Patrimonio Autonomo Fondo Nacional de Financiamiento para la Ciencia, la Tecnologia y la Innovacion Francisco Jose de Caldas-MinCiencias, Gobernacion de Boyaca [110986575466]</t>
  </si>
  <si>
    <t>Patrimonio Autonomo Fondo Nacional de Financiamiento para la Ciencia, la Tecnologia y la Innovacion Francisco Jose de Caldas-MinCiencias, Gobernacion de Boyaca</t>
  </si>
  <si>
    <t>This research was funded by the Patrimonio Autonomo Fondo Nacional de Financiamiento para la Ciencia, la Tecnologia y la Innovacion Francisco Jose de Caldas-MinCiencias, Gobernacion de Boyaca (Cod: 110986575466).</t>
  </si>
  <si>
    <t>Abirami K, 2021, SCI REP-UK, V11, DOI 10.1038/s41598-021-81682-x; Al-Mekhlafi NA, 2021, MICROCHEM J, V160, DOI 10.1016/j.microc.2020.105687; [Anonymous], 2021, RED INFORM COMUNICAC; AOAC, 1998, OFF METH AN, V15th; Betancur G. Jorge Andrés, 2020, Rev. Fac. Nac. Agron. Medellín, V73, P9019, DOI 10.15446/rfnam.v73n1.77735; Callejas-Chavero A, 2021, BOT SCI, V99, P229, DOI 10.17129/botsci.2654; Canar D., 2014, REV AGRON, V22, P77; Da Silva ADC, 2017, REV BRAS FRUTIC, V39, DOI 10.1590/0100-29452017168; Cruz I., 2008, THESIS U AUTONOMA CH, P66; De Dios HC, 2005, HASELTONIA, P11; de Oliveira MMT, 2020, PLANT PHYSIOL BIOCH, V153, P30, DOI 10.1016/j.plaphy.2020.04.044; Di Rienzo J.A., 2020, MANUAL USUARIO INFOS; Goenaga R, 2020, HORTTECHNOLOGY, V30, P803, DOI 10.21273/HORTTECH04699-20; Gonzalez M.A., 2019, REV COLOMB ENTOMOL, V45, P1; Hossain F. M., 2021, International Journal of Horticultural Science and Technology, V8, P259, DOI 10.22059/ijhst.2021.311550.400; Jalgaonkar K, 2022, FOOD REV INT, V38, P733, DOI 10.1080/87559129.2020.1742152; Kassambara A., 2017, FACTOEXTRA EXTRACT V, V1, P337, DOI DOI 10.1111/1365-2745.13964; Le S, 2008, J STAT SOFTW, V25, P1, DOI 10.18637/jss.v025.i01; Mahmud L.A., 2021, NUSANT BIOSCI, V13, P138, DOI [10.13057/nusbiosci/n130118, DOI 10.13057/NUSBIOSCI/N130118]; Mejía Henry Andrés, 2013, Rev. Fac. Nac. Agron. Medellín, V66, P6845; Morillo A., 2016, CIENC DESARRO, V7, P23, DOI [10.19053/01217488.v7.n2.2016.4072, DOI 10.19053/01217488.V7.N2.2016.4072]; Morillo A. C., 2022, Braz. J. Biol., V82, pe256451, DOI 10.1590/1519-6984.256451; Morillo-Coronado AC, 2021, PLANTS-BASEL, V10, DOI 10.3390/plants10112255; ORTIZ THIAGO ALBERTO, 2020, rev.colomb.cienc.hortic., V14, P63, DOI 10.17584/rcch.2020v14i1.8422; Osuna T., 2011, REV FITOTEC MEX, V34, P63; Pasko P, 2021, FOOD BIOSCI, V40, DOI 10.1016/j.fbio.2021.100888; Rabelo JM, 2020, ACTA SCI-AGRON, V42, DOI 10.4025/actasciagron.v42i1.43335; Rangel I.M., 2020, RES SOC DEV, V10, pe1191071162288, DOI 10.33448/rsd-v10i7.16822; Sotomayor A, 2019, ENFOQUE UTE, V10, P89, DOI 10.29019/enfoqueute.v10n1.386; Sudarjat, 2019, Asian Journal of Plant Sciences, V18, P21, DOI 10.3923/ajps.2019.21.25; Thokchom A., 2019, AGR FOOD, V1, P253; Tran D.H., 2014, INT SCHOLARLY SCI RE, V8, P268; Verona-Ruiz A, 2020, SCI AGROPEC, V11, P439, DOI 10.17268/sci.agropecu.2020.03.16</t>
  </si>
  <si>
    <t>2073-4395</t>
  </si>
  <si>
    <t>Agronomy-Basel</t>
  </si>
  <si>
    <t>10.3390/agronomy12071582</t>
  </si>
  <si>
    <t>3J3RG</t>
  </si>
  <si>
    <t>WOS:000833315100001</t>
  </si>
  <si>
    <t>Terranova, CAV; Diaz, JMG; Ramirez, MAR</t>
  </si>
  <si>
    <t>Vargas Terranova, Camilo Andres; Gonzalez Diaz, Javier Mauricio; Rueda Ramirez, Monica Alexandra</t>
  </si>
  <si>
    <t>Environmental assessment in the current scenario and with carbon credits: La Cortadera moor, department of Boyaca, Colombia [T1]</t>
  </si>
  <si>
    <t>carbon capture; environmental assessment; environmental impact; moor; moorland</t>
  </si>
  <si>
    <t>This study assessed the environmental and socioeconomic conditions of the La Cortadera moor in order to identify the environmental impacts to be considered in the provision of the carbon capture service. Using the methodology of the Secretaria Distrital de Medio Ambiente (2013) for environmental assessment and evaluation, two scenarios were proposed, the current and one with carbon credits, in order to compare how the provision of the capture service contributes to the recovery and conservation of the environment. Among the results, 82 impacts were identified in the current scenario, where significant, temporary and mitigable adverse impacts related to the anthropic activities carried out in the moor predominate; while in the scenario with carbon credits, 30 environmental impacts associated with the biotic, abiotic and socioeconomic environments were identified, of which 25 are positive and are classified mostly as significant and of high importance, linked to activities of administration of the protected area, institutionalism, research, generation of knowledge and strengthening of the socioeconomic and cultural component. According to the negative impacts of the current scenario (90%), the moor has been affected and fragmented to a considerable degree, mainly due to the expansion of the agricultural frontier. For this reason, as shown by the results in the scenario with carbon credits (83% positive impacts), the structuring of a protocol for the provision of the capture service in the ecosystem and the environmental management plan to</t>
  </si>
  <si>
    <t>[Vargas Terranova, Camilo Andres] Univ Complutense, Geol Ambiental &amp; Recursos Geol, Madrid, Spain; [Vargas Terranova, Camilo Andres; Gonzalez Diaz, Javier Mauricio] Univ La Salle, Programa Ingn Ambiental &amp; Sanitaria, Bogota, Colombia; [Gonzalez Diaz, Javier Mauricio] Univ Pedag &amp; Tecnol Colombia, Geog, Bogota, Colombia; [Rueda Ramirez, Monica Alexandra] Univ La Salle, Ingn Ambiental &amp; Sanitaria, Bogota, Colombia; [Rueda Ramirez, Monica Alexandra] Univ La Salle, Bogota, Colombia</t>
  </si>
  <si>
    <t>Complutense University of Madrid; Universidad de La Salle; Universidad Pedagogica y Tecnologica de Colombia (UPTC); Universidad de La Salle; Universidad de La Salle</t>
  </si>
  <si>
    <t>Terranova, CAV (corresponding author), Univ Complutense, Geol Ambiental &amp; Recursos Geol, Madrid, Spain.;Terranova, CAV (corresponding author), Univ La Salle, Programa Ingn Ambiental &amp; Sanitaria, Bogota, Colombia.</t>
  </si>
  <si>
    <t>cvterranova@unisalle.edu.co; javigonzalez@unisalle.edu.co; mrueda88@unisalle.edu.co</t>
  </si>
  <si>
    <t>Africano Pérez Karen Lisseth, 2016, Perspectiva Geográfica, V21, P91; Alvarez J., 2016, REV PSICOLOGIA POLIT, V16, P321; Amar A, 2009, DIAGNOSTICO EVALUACI; Andrade G., 2013, VISION SOCIOECOSISTE, P127; Autoridad Nacional de Licencias Ambientales (ANLA), 2018, MET GEN EL PRES EST; Bocarejo D., 2014, CARACTERIZACION SOCI; Cardenas F, 2007, ANTROPOLOGIA PERSPEC; Conesa V., 1993, GUIA METODOLOGICA EV, V2; Corporacion Autonoma Regional de Boyaca (Corpoboyaca), 2015, AC 024 2015 CUAL DEC; Gobernacion de Boyaca, 2013, PAR DEP BOY; Greenpeace, 2013, PAR PEL CAS MIN CARB; Hernández David Ricardo, 2015, rev.udcaactual.divulg.cient., V18, P475; Instituto de Investigacion de Recursos Biologicos Alexander von Humboldt, 2007, ATLAS PARAMOS COLOMB; Marquez G, 2014, ECOSISTEMAS ESTRATEG; Maza C., 2007, MANEJO CONSERVACION, P579; Ministerio del Medio Ambiente, 2002, PROGR MAN SOST REST; Perez F., 2018, CUAD GEOGR-BOGOTA, V28, P121; Rivera D., 2011, GUIA DIVULGATIVA CRI; Secretaria Distrital de Ambiente, 2013, INSTR DIL MATR ID AS; Wood C, 2003, ENVIRON IMPACT ASSES, V2nd</t>
  </si>
  <si>
    <t>10.19053/01233769.11953</t>
  </si>
  <si>
    <t>WOS:000767237000003</t>
  </si>
  <si>
    <t>Jimenez, CAR; Yepes, AB</t>
  </si>
  <si>
    <t>Jimenez, Cesar Augusto Rojas; Yepes, Agapito Bautista</t>
  </si>
  <si>
    <t>Changes in urban land rent due to the use of land-use planning regulatory instruments, Chapinero district, Bogota, Colombia</t>
  </si>
  <si>
    <t>urban land; instrument; real state market; valuation; rent; geography</t>
  </si>
  <si>
    <t>SOIL ECOSYSTEM SERVICES; CHALLENGES</t>
  </si>
  <si>
    <t>Urban land rent is one of the main attributes of the housing market that enable public space management. This paper evaluates the effect on urban land rent in the Chapinero district (Bogota, Colombia) of using Decree 120, 2018. This decree is an instrument that enables the development of collective facilities in any area of the city, even where the current regulations do not allow it. This involves a change in the usage and, in some areas, an increase in the maximum buildability, thus generating a higher land value and influencing the rent calculation. The determination of the differential rent consisted of a property and regulatory analysis and the application of the residual and market comparison methods for determining commercial real estate values and thus determining the changes in land values before and after the regulatory instrument. Consequently, land management based on the development of collective facilities in different areas of the city is an opportunity for owners or developers, both public and private, to implement this type of use, thus improving the conditions of the right to the city of the inhabitants in general through the satisfaction of basic needs complementary to housing and the enjoyment of collective spaces for public use.</t>
  </si>
  <si>
    <t>[Jimenez, Cesar Augusto Rojas] Univ Distrital Francisco Jose Caldas, Bogota, Colombia; [Yepes, Agapito Bautista] Univ Pedag &amp; Tecnol Colombia, Tunja, Colombia</t>
  </si>
  <si>
    <t>Universidad Distrital Francisco Jose de Caldas; Universidad Pedagogica y Tecnologica de Colombia (UPTC)</t>
  </si>
  <si>
    <t>Jimenez, CAR (corresponding author), Univ Distrital Francisco Jose Caldas, Bogota, Colombia.</t>
  </si>
  <si>
    <t>carojasj@udistrital.edu.co; yanethalvarez670@gmail.com</t>
  </si>
  <si>
    <t>Anna K, 2016, ECOSYST SERV, V22, P204, DOI 10.1016/j.ecoser.2015.04.006; [Anonymous], POR MEDIO CUAL SE AR; [Anonymous], CUAL SE ESTABLECEN P; [Anonymous], CUAL SE APRUEBA REGL; Anwar A, 2020, INT J ENV RES PUB HE, V17, DOI 10.3390/ijerph17072531; Baveye PC, 2015, FRONT ENV SCI-SWITZ, V3, DOI [10.3389/fenvs.2016.00041, 10.3389/fenvs.2015.00010]; Borrero O., 2020, CONTRIBUCION MEJORAS; Brevik EC, 2018, CURR OPIN ENV SCI HL, V5, P87, DOI 10.1016/j.coesh.2018.07.003; Buettner T, 2013, REG SCI URBAN ECON, V43, P16, DOI 10.1016/j.regsciurbeco.2012.10.003; Carrion A, 2020, REV GEOGR NORTE GD, P5; Checa J, 2021, URBAN SCI, V5, DOI 10.3390/urbansci5020045; Costamagna P., 2020, DESARROLLO TERRITORI, V7, P7; Dahmann N, 2010, HEALTH PLACE, V16, P431, DOI 10.1016/j.healthplace.2009.11.005; Dociu M, 2012, INT J ACAD RES ACCOU, V2, P47, DOI DOI 10.1038/301504A0; Gudino ME, 2015, PERSPECT GEOGR, V20, P11; FAO Global Soil Biodiversity Initiative Secretariat of the Convention of Biological European Commission &amp; Intergovernmental Technical Panel on Soils, 2020, REPORT 2020, DOI [DOI 10.4060/CB1928EN, 10.4060/cb1928en]; Feiock RC, 2008, POLICY STUD J, V36, P461, DOI 10.1111/j.1541-0072.2008.00277.x; FREEMAN AM, 1979, SCAND J ECON, V81, P154, DOI 10.2307/3439957; Glaeser EL, 2012, J POLICY ANAL MANAG, V31, P111, DOI 10.1002/pam.20631; Goodall B., 2013, EC URBAN AREAS; Haaland C, 2015, URBAN FOR URBAN GREE, V14, P760, DOI 10.1016/j.ufug.2015.07.009; Harrison A. J., 2017, EC LAND USE PLANNING, DOI [10.4324/9781315112022, DOI 10.4324/9781315112022]; Henao O. M. E., 2002, TERRITORIOS, V8, P127; Isunza-Vizuet G, 2021, EURE, V47, P229, DOI [10.7764/eure.47.142.11, 10.7764/EURE.47.142.11]; Jaramillo S., 2010, HACIA TEORIA RENTA S, V2a; Keil R, 2020, DISP, V56, P4, DOI 10.1080/02513625.2020.1756620; Lindsey G, 2001, PROF GEOGR, V53, P332, DOI 10.1111/0033-0124.00288; Montes Lira P. F., 2001, ORDENAMIENTO TERRITO; Ortiz Y. C., 2021, PAPEL CEIC, V51, P167; Parsons T, 2021, AGU ADV, V2, DOI 10.1029/2020AV000277; Pereira P, 2018, CURR OPIN ENV SCI HL, V5, P7, DOI 10.1016/j.coesh.2017.12.003; Pereira-Corona A., 2018, SCI REP-UK, V14, P111; RICHARDSON HW, 1974, URBAN STUD, V11, P189, DOI 10.1080/00420987420080341; Secretaria Distrital de Planeacion de Bogota, 2022, NORM URB; Steel G, 2017, GEOFORUM, V83, P133, DOI 10.1016/j.geoforum.2017.03.006; Torres-Tovar Carlos Alberto, 2016, Bitácora Urbano Territorial, V26, P7, DOI 10.15446/bitacora.v26n1.58111; United Nations Department of Economic and Social Affairs Population Division, 2019, STESASERA420 UN DEP; Vergara A., 2015, DISCUSSION PAPERS N; Zlotnik H., 2017, NEW FORMS URBANIZATI, P43, DOI DOI 10.4324/9781315248073-3</t>
  </si>
  <si>
    <t>WOS:000944453600002</t>
  </si>
  <si>
    <t>Rubio, L; Penarrocha, VMR; Cabedo-Fabres, M; Bernardo-Clemente, B; Reig, J; Fernandez, H; Perez, JR; Torres, RP; Valle, L; Fernandez, O</t>
  </si>
  <si>
    <t>Rubio, Lorenzo; Penarrocha, Vicent M. Rodrigo; Cabedo-Fabres, Marta; Bernardo-Clemente, Bernardo; Reig, Juan; Fernandez, Herman; Perez, Jesus R.; Torres, Rafael P.; Valle, Luis; Fernandez, Oscar</t>
  </si>
  <si>
    <t>Millimeter-Wave Channel Measurements and Path Loss Characterization in a Typical Indoor Office Environment</t>
  </si>
  <si>
    <t>ELECTRONICS</t>
  </si>
  <si>
    <t>5G; 6G; channel measurements; indoor communications; indoor hotspot; millimeter-wave; mmWave; path loss models; propagation; wireless channels</t>
  </si>
  <si>
    <t>In this paper, a path loss characterization at millimeter-wave (mmWave) frequencies is performed in a typical indoor office environment. Path loss results were derived from propagation channel measurements collected in the 25-40 GHz frequency band, in both line-of-sight (LOS) and obstructed-LOS (OLOS) propagation conditions. The channel measurements were performed using a frequency-domain channel sounder, which integrates an amplified radio over fiber (RoF) link to avoid the high losses at mmWave. The path loss was analyzed in the 26 GHz, 28 GHz, 33 GHz and 38 GHz frequency bands through the close-in free space reference distance (CI) and the floating-intercept (FI) models. These models take into account the distance dependence of the path loss for a single frequency. Nevertheless, to jointly study the distance and frequency dependence of the path loss, multi-frequency models were considered. The parameters of the ABG (A-alpha, B-beta and G-gamma) and the close-in free space reference distance with frequency path loss exponent (CIF) models were derived from the channel measurements in the whole 25-40 GHz band under the minimum mean square error (MMSE) approach. The results show that, in general, there is some relationship between the model parameters and the frequency. Path loss exponent (PLE) values smaller than the theoretical free space propagation were obtained, showing that there are a waveguide effect and a constructive interference of multipath components (MPCs). Since the measurements were obtained in the same environment and with the same configuration and measurement setup, it is possible to establish realistic comparisons between the model parameters and the propagation behavior at the different frequencies considered. The results provided here allow us to have a better knowledge of the propagation at mmWave frequencies and may be of interest to other researchers in the simulation and performance evaluation of future wireless communication systems in indoor hotspot environments.</t>
  </si>
  <si>
    <t>[Rubio, Lorenzo; Penarrocha, Vicent M. Rodrigo; Cabedo-Fabres, Marta; Bernardo-Clemente, Bernardo; Reig, Juan] Univ Politecn Valencia, iTEAM Res Inst, Valencia 46022, Spain; [Fernandez, Herman] Univ Pedag &amp; Tecnol Colombia, Escuela Ingn Elect, Sogamoso 152211, Colombia; [Perez, Jesus R.; Torres, Rafael P.; Valle, Luis; Fernandez, Oscar] Univ Cantabria, Dept Ingn Comunicac, Santander 39005, Spain</t>
  </si>
  <si>
    <t>Universitat Politecnica de Valencia; Universidad Pedagogica y Tecnologica de Colombia (UPTC); Universidad de Cantabria</t>
  </si>
  <si>
    <t>Rubio, L (corresponding author), Univ Politecn Valencia, iTEAM Res Inst, Valencia 46022, Spain.</t>
  </si>
  <si>
    <t>lrubio@dcom.upv.es</t>
  </si>
  <si>
    <t>Rodrigo Peñarrocha, Vicent Miquel/F-6117-2016</t>
  </si>
  <si>
    <t>Rodrigo Peñarrocha, Vicent Miquel/0000-0002-8075-4851; Torres, Rafael P./0000-0001-8346-721X; PEREZ, JESUS RAMON/0000-0003-3719-5414</t>
  </si>
  <si>
    <t>3GPP TR 25.996, 2012, 25996 3GPP TR; Al-Samman AM, 2016, PLOS ONE, V11, DOI 10.1371/journal.pone.0163034; Alsharif MH, 2020, SYMMETRY-BASEL, V12, DOI 10.3390/sym12040676; Andrews JG, 2014, IEEE J SEL AREA COMM, V32, P1065, DOI 10.1109/JSAC.2014.2328098; [Anonymous], 2019, 21915 3GPP TR; [Anonymous], 2015, SAMSUNG R D 5G VISIO; [Anonymous], 2019, WORLD RADIOCOMMUNICA; European Commission-Radio Spectrum Policy Group, 2016, STRATEGIC ROADMAP 5G; Fernandez H, 2014, IEEE ANTENN WIREL PR, V13, P931, DOI 10.1109/LAWP.2014.2322261; Fernandez H, 2013, MOBILE NETW APPL, V18, P755, DOI 10.1007/s11036-013-0463-x; Giordani M, 2020, IEEE COMMUN MAG, V58, P55, DOI 10.1109/MCOM.001.1900411; Haneda K, 2015, IEEE T ANTENN PROPAG, V63, P2694, DOI 10.1109/TAP.2015.2412147; Huang J, 2017, IEEE J SEL AREA COMM, V35, P1591, DOI 10.1109/JSAC.2017.2699381; MacCartney GR, 2015, IEEE ACCESS, V3, P2388, DOI 10.1109/ACCESS.2015.2486778; Meinila J., 2007, TECH REP D112 INF SO; Molisch A. F., 2010, WIRELESS COMMUNICATI; Piersanti S, 2012, IEEE ICC; Rappaport TS, 2015, IEEE T COMMUN, V63, P3029, DOI 10.1109/TCOMM.2015.2434384; Rodrigo-Penarrocha V.M., 2018, COST CA15104 TD 18 0, P1; Rubio L, 2019, IEEE T VEH TECHNOL, V68, P12427, DOI 10.1109/TVT.2019.2947205; Rubio L, 2013, INT J ANTENN PROPAG, V2013, DOI 10.1155/2013/350167; Rubio O, 2019, ELECTRONICS-SWITZ, V8, DOI 10.3390/electronics8111261; Steele R., 1999, MOBILE RADIO COMMUNI, V2nd; Sun S, 2016, P 2016 10 EUROPEAN C, P1; Tang P., 2018, IEEE VTS VEH TECHNOL, P1; Tataria H, 2022, IEEE VEH TECHNOL MAG, V17, P16, DOI 10.1109/MVT.2021.3136506</t>
  </si>
  <si>
    <t>2079-9292</t>
  </si>
  <si>
    <t>ELECTRONICS-SWITZ</t>
  </si>
  <si>
    <t>Electronics</t>
  </si>
  <si>
    <t>10.3390/electronics12040844</t>
  </si>
  <si>
    <t>Computer Science, Information Systems; Engineering, Electrical &amp; Electronic; Physics, Applied</t>
  </si>
  <si>
    <t>Computer Science; Engineering; Physics</t>
  </si>
  <si>
    <t>9H1DV</t>
  </si>
  <si>
    <t>WOS:000938581200001</t>
  </si>
  <si>
    <t>Coronado, ACM; Hernandez, EHM; Coronado, YM</t>
  </si>
  <si>
    <t>Morillo Coronado, Ana Cruz; Manjarres Hernandez, Elsa Helena; Morillo Coronado, Yacenia</t>
  </si>
  <si>
    <t>Phenotypic diversity of agromorphological characteristics of quinoa (Chenopodium quinoa WilId.) germplasm in Colombia</t>
  </si>
  <si>
    <t>SCIENTIA AGRICOLA</t>
  </si>
  <si>
    <t>Andean cultivation; phenotypic variability; genetic diversity; yield</t>
  </si>
  <si>
    <t>Chenopodium quinoa Willd. is an Andean crop with great nutritional value, economic potential, and a broad genetic and phenotypic diversity with adaptation to different conditions. In Colombia, C. quinoa is cultivated mainly in Cundinamarca, Narino and Boyaca, where studies have been conducted to characterize the germplasm and lack of seed materials, some challenges for the quinoa crop. This work assessed agromorphological characteristics of 50 quinoa genotypes from the germplasm collection of Boyaca the using a completely randomized design on the farm in Tunja. The multivariate analysis followed by a clustering approach were conducted on agromorphological descriptors, in which 16 were qualitative descriptors (e.g, panicle shape, episperm color, leaf shape) and five quantitative descriptors (e.g, plant height, panicle number). The results showed that higher coefficients of variation were found in characteristics associated to yield. The principal component analysis (PCA) of the quantitative variables showed that the first two components explained 88 % of the total variation with the characteristics of plant height, length, diameter, and panicle number showing the highest variability. The quantitative characteristic clusters comprised length and diameter panicle, weight 1,000 seeds, and plant height, while the qualitative characteristic clusters comprised stem shape, branching habit, panicle shape, and color of the axils. The factorial analysis of mixed data discriminated the materials with outstanding morphoagronomic characteristics. Agromorphological characterization revealed a broad variability, which should be conserved and used in genetic improvement programs of C. quinoa.</t>
  </si>
  <si>
    <t>[Morillo Coronado, Ana Cruz; Manjarres Hernandez, Elsa Helena] Univ Pedag &amp; Tecnol Colombia, Fac Ciencias Agr, Ave Cent Norte 39-115, Tunja, Colombia; [Morillo Coronado, Yacenia] Corp Colombiana Invest Agr AGROSAVIA, Cra 36a-23, Palmira, Valle Del Cauca, Colombia</t>
  </si>
  <si>
    <t>Coronado, ACM (corresponding author), Univ Pedag &amp; Tecnol Colombia, Fac Ciencias Agr, Ave Cent Norte 39-115, Tunja, Colombia.</t>
  </si>
  <si>
    <t>Patrimonio Autonomo Fondo Nacional de Financiamiento para la Ciencia, la Tecnologia y la Innovacion Francisco Jose de Caldas - MinCiencias [63924]</t>
  </si>
  <si>
    <t>Patrimonio Autonomo Fondo Nacional de Financiamiento para la Ciencia, la Tecnologia y la Innovacion Francisco Jose de Caldas - MinCiencias</t>
  </si>
  <si>
    <t>The authors gratefully acknowledge the: Patrimonio Autonomo Fondo Nacional de Financiamiento para la Ciencia, la Tecnologia y la Innovacion Francisco Jose de Caldas -MinCiencias. ID. 63924, for the research financial support.</t>
  </si>
  <si>
    <t>Bazile D, 2016, FRONT PLANT SCI, V7, DOI 10.3389/fpls.2016.00622; Chura E, 2019, CIENC INVESTIG AGRAR, V46, P154, DOI 10.7764/rcia.v46i2.2142; Di Rienzo J.A., INFOSTAT VERSION 201; García-Parra Miguel, 2019, Agron. colomb., V37, P144, DOI 10.15446/agron.colomb.v37n2.76219; Hirich A, 2014, J AGRON CROP SCI, V200, P371, DOI 10.1111/jac.12071; Hussain MI, 2020, PLANTS-BASEL, V9, DOI 10.3390/plants9121763; Jaikishun S, 2019, AGRONOMY-BASEL, V9, DOI 10.3390/agronomy9040176; Kassambara A., 2017, FACTOEXTRA EXTRACT V, V1, P337, DOI DOI 10.1111/1365-2745.13964; Kir A.E., 2016, J I SCI TECHNOLOGY, V4, P145; Le S, 2008, J STAT SOFTW, V25, P1, DOI 10.18637/jss.v025.i01; Lopez J.P, 2012, REV CIENC AGRIC, V25, P130; MONTES-ROJAS CONSUELO, 2018, Rev.Bio.Agro, V16, P26, DOI 10.18684/bsaa.v16n2.1163; Morillo C. A. C., 2020, African Journal of Agricultural Research, V16, P1195, DOI 10.5897/AJAR2020.14916; Pinto-Irish K, 2020, BMC PLANT BIOL, V20, DOI 10.1186/s12870-020-02542-w; Salazar J, 2019, EUPHYTICA, V215, DOI 10.1007/s10681-019-2371-z; Sampaio SL, 2020, FOOD FUNCT, V11, P2969, DOI [10.1039/D0FO00055H, 10.1039/d0fo00055h]; Spehar CR, 2005, PESQUI AGROPECU BRAS, V40, P609, DOI 10.1590/S0100-204X2005000600012; Temel S, 2020, TURK J AGRIC FOR, V44, P533, DOI 10.3906/tar-1912-58</t>
  </si>
  <si>
    <t>UNIV SAO PAULO, ESALQ</t>
  </si>
  <si>
    <t>PIRACICABA</t>
  </si>
  <si>
    <t>AVE PADUA DIAS NO 11, PIRACICABA, SP SP 13418-900, BRAZIL</t>
  </si>
  <si>
    <t>1678-992X</t>
  </si>
  <si>
    <t>SCI AGR</t>
  </si>
  <si>
    <t>Sci. Agric.</t>
  </si>
  <si>
    <t>e20210017</t>
  </si>
  <si>
    <t>10.1590/1678-992X-2021-0017</t>
  </si>
  <si>
    <t>TS7CS</t>
  </si>
  <si>
    <t>WOS:000679803900001</t>
  </si>
  <si>
    <t>Rivera-Niquepa, JD; Rojas-Lozano, D; De Oliveira-De Jesus, PM; Yusta, JM</t>
  </si>
  <si>
    <t>David Rivera-Niquepa, Juan; Rojas-Lozano, Daniela; De Oliveira-De Jesus, Paulo M.; Yusta, Jose M.</t>
  </si>
  <si>
    <t>Decomposition Analysis of the Aggregate Carbon Intensity (ACI) of the Power Sector in Colombia-A Multi-Temporal Analysis</t>
  </si>
  <si>
    <t>ACI; Colombia; energy policy; IDA-LMDI; power generation</t>
  </si>
  <si>
    <t>CO2 EMISSIONS; LMDI DECOMPOSITION; DRIVING FORCES; ENERGY-CONSUMPTION; DIOXIDE EMISSIONS; CHINA; ELECTRICITY; DRIVERS; HYDROPOWER; CAPACITY</t>
  </si>
  <si>
    <t>This paper presents the application of the Logarithmic Mean Divisia Index Decomposition Analysis (LMDI) to the aggregate carbon intensity (ACI) of the power sector in Colombia in the period 1990-2020, with the aim of identifying the main drivers influencing the ACI change. The analysis performed identifies the main drivers among: carbon intensity, generation efficiency, and contribution of fossil generation at the specific and total level of electricity production. The analysis is performed at the aggregate and disaggregated level of fossil fuels. Due to the highly variable behavior of the ACI, a multi-temporal decomposition is performed in the eight presidential administrations in the period of analysis. For each period, the main drivers are identified and the energy policy implications and their effects on the operation and management of the power sector are analyzed. The results show that the main driver is the fossil share of total energy production. Important effects on thermal generation efficiency and fossil energy mix were also identified in some analysis periods. The need for effective long-term policies and regulation in relation to the factors influencing the ACI was identified. It is recommended to accelerate the diversification of the energy mix of the power sector and the permanent monitoring of the behavior of the drivers.</t>
  </si>
  <si>
    <t>[David Rivera-Niquepa, Juan; Rojas-Lozano, Daniela; De Oliveira-De Jesus, Paulo M.] Los Andes Univ, Dept Elect &amp; Elect Engn, Bogota 111711, Colombia; [David Rivera-Niquepa, Juan] Univ Pedag &amp; Tecnol Colombia, Dept Electromech Engn, Duitama 150461, Colombia; [Yusta, Jose M.] Univ Zaragoza, Dept Elect Engn, Zaragoza 50009, Spain</t>
  </si>
  <si>
    <t>Universidad Pedagogica y Tecnologica de Colombia (UPTC); University of Zaragoza</t>
  </si>
  <si>
    <t>Rivera-Niquepa, JD (corresponding author), Los Andes Univ, Dept Elect &amp; Elect Engn, Bogota 111711, Colombia.;Rivera-Niquepa, JD (corresponding author), Univ Pedag &amp; Tecnol Colombia, Dept Electromech Engn, Duitama 150461, Colombia.</t>
  </si>
  <si>
    <t>jd.rivera@uniandes.edu.co</t>
  </si>
  <si>
    <t>YUSTA, JOSE M./K-6527-2017; DE OLIVEIRA-DE JESUS, PAULO/G-6829-2013</t>
  </si>
  <si>
    <t>YUSTA, JOSE M./0000-0003-3174-9703; DE OLIVEIRA-DE JESUS, PAULO/0000-0002-3344-9555</t>
  </si>
  <si>
    <t>Ministry of Science, Technology and Innovation, Colombia</t>
  </si>
  <si>
    <t>This research was funded by Ministry of Science, Technology and Innovation, Colombia grant number 1 of 2018 (Bicentenario-Corte 2).</t>
  </si>
  <si>
    <t>Achour H, 2016, TRANSPORT POLICY, V52, P64, DOI 10.1016/j.tranpol.2016.07.008; Alajmi RG, 2021, ENERG POLICY, V156, DOI 10.1016/j.enpol.2021.112454; Andres L, 2015, ENERG POLICY, V85, P309, DOI 10.1016/j.enpol.2015.06.018; Ang BW, 2016, ENERG POLICY, V98, P170, DOI 10.1016/j.enpol.2016.08.027; Ang BW, 2016, ENERG POLICY, V94, P56, DOI 10.1016/j.enpol.2016.03.038; Ang BW, 2015, ENERG POLICY, V86, P233, DOI 10.1016/j.enpol.2015.07.007; Ang BW, 2000, ENERGY, V25, P1149, DOI 10.1016/S0360-5442(00)00039-6; Arango-Aramburo S, 2019, ENERG POLICY, V128, P179, DOI 10.1016/j.enpol.2018.12.057; Caceres AL, 2021, ENERGY SUSTAIN DEV, V61, P217, DOI 10.1016/j.esd.2021.02.006; Calderon S, 2016, ENERG ECON, V56, P575, DOI 10.1016/j.eneco.2015.05.010; Cansino JM, 2015, RENEW SUST ENERG REV, V48, P749, DOI 10.1016/j.rser.2015.04.011; Chong CH, 2019, RENEW SUST ENERG REV, V115, DOI 10.1016/j.rser.2019.109356; Chong CH, 2017, ENERGY, V133, P525, DOI 10.1016/j.energy.2017.05.045; Chong CH, 2015, ENERGY, V85, P366, DOI 10.1016/j.energy.2015.03.100; Chow W., 2022, AR6 IPCC; Colombia Plan Nacional de Adaptacion al Cambio Climatico, 2016, PLAN NAC AD CAMB CLI; De Oliveira-De Jesus PM, 2020, ENERGIES, V13, DOI 10.3390/en13092328; De Oliveira-De Jesus PM, 2019, RENEW SUST ENERG REV, V101, P516, DOI 10.1016/j.rser.2018.11.030; Delgado R, 2020, ENERGY STRATEG REV, V32, DOI 10.1016/j.esr.2020.100525; Eckstein D., 2021, WHO SUFFERS MOST EXT, P2000; Espinasa R., 2017, US; Valderrama ME, 2019, ENERG POLICY, V124, P111, DOI 10.1016/j.enpol.2018.09.039; Garces E, 2021, ENERGY RES SOC SCI, V79, DOI 10.1016/j.erss.2021.102156; Gobierno de Colombia G., 2021, BUR3 GOB COL G; He Y, 2022, ENVIRON IMPACT ASSES, V93, DOI 10.1016/j.eiar.2021.106724; Howland F, 2022, GEOFORUM, V131, P163, DOI 10.1016/j.geoforum.2022.02.012; Ideam P., 2016, INVENTARIO NACL DEP; Isik M, 2021, SUSTAINABILITY-BASEL, V13, DOI 10.3390/su13010265; Jiang JJ, 2017, J CLEAN PROD, V169, P178, DOI 10.1016/j.jclepro.2017.03.189; Jiang XT, 2017, SUSTAINABILITY-BASEL, V9, DOI 10.3390/su9060886; Sumabat AK, 2016, APPL ENERG, V164, P795, DOI 10.1016/j.apenergy.2015.12.023; Karmellos M, 2016, ENERGY, V94, P680, DOI 10.1016/j.energy.2015.10.145; Kim H, 2020, ENERGIES, V13, DOI 10.3390/en13143522; Laverde-Rojas H, 2021, HELIYON, V7, DOI 10.1016/j.heliyon.2021.e07188; Liao CY, 2019, ENRGY PROCED, V158, P3859, DOI 10.1016/j.egypro.2019.01.860; Liu MZ, 2021, ENVIRON IMPACT ASSES, V90, DOI 10.1016/j.eiar.2021.106623; Liu N, 2019, ENERG POLICY, V129, P410, DOI 10.1016/j.enpol.2019.02.015; Pineda AAL, 2019, J ENVIRON MANAGE, V250, DOI 10.1016/j.jenvman.2019.109453; Ma LW, 2018, SUSTAINABILITY-BASEL, V10, DOI 10.3390/su10020344; Mousavi B, 2017, APPL ENERG, V206, P804, DOI 10.1016/j.apenergy.2017.08.199; Moutinho V, 2015, RENEW SUST ENERG REV, V50, P1485, DOI 10.1016/j.rser.2015.05.072; Nascimento L, 2022, MONITORING CLIMATE M; Nieves JA, 2019, ENERGY, V169, P380, DOI 10.1016/j.energy.2018.12.051; Martinez CIP, 2016, J CLEAN PROD, V115, P130, DOI 10.1016/j.jclepro.2015.12.019; Patino LI, 2021, ENERG POLICY, V151, DOI 10.1016/j.enpol.2020.112130; Perez A, 2021, RENEW ENERG, V167, P146, DOI 10.1016/j.renene.2020.11.067; Pupo-Roncallo O, 2020, DATA BRIEF, V28, DOI 10.1016/j.dib.2019.105084; Pupo-Roncallo O, 2019, ENERGY, V186, DOI 10.1016/j.energy.2019.07.135; Roman R, 2018, RENEW ENERG, V116, P402, DOI 10.1016/j.renene.2017.09.016; Roman-Collado R, 2018, ENERGY, V148, P687, DOI 10.1016/j.energy.2018.01.141; Gutierrez AS, 2020, DATA BRIEF, V28, DOI 10.1016/j.dib.2019.104949; Staff I.E.A., 2019, CO 2 EM FUEL COMB OR; Tian ZH, 2016, SUSTAINABILITY-BASEL, V8, DOI 10.3390/su8090863; Torrie RD, 2016, ENERG ECON, V56, P101, DOI 10.1016/j.eneco.2016.03.012; Wang P, 2017, ENRGY PROCED, V142, P3160, DOI 10.1016/j.egypro.2017.12.384; Xu XY, 2013, ECOL ECON, V93, P313, DOI 10.1016/j.ecolecon.2013.06.007; Yang LS, 2016, RENEW SUST ENERG REV, V60, P258, DOI 10.1016/j.rser.2016.01.058; Zhang W, 2016, ENERG POLICY, V92, P369, DOI 10.1016/j.enpol.2016.02.026; Zhao YH, 2017, NAT HAZARDS, V86, P645, DOI 10.1007/s11069-016-2710-5; Zhou GH, 2014, J CLEAN PROD, V83, P173, DOI 10.1016/j.jclepro.2014.06.047; Zhu BZ, 2018, APPL ENERG, V230, P1545, DOI 10.1016/j.apenergy.2018.09.026</t>
  </si>
  <si>
    <t>10.3390/su142013634</t>
  </si>
  <si>
    <t>5Q5FJ</t>
  </si>
  <si>
    <t>WOS:000873857100001</t>
  </si>
  <si>
    <t>Espitia, ACS; Otalora, Y; Taborda-Osorio, H</t>
  </si>
  <si>
    <t>Santana Espitia, Ana Cristina; Otalora, Yenny; Taborda-Osorio, Hernando</t>
  </si>
  <si>
    <t>Preschool Children's Learning of Counting and the Natural Numbers: A Systematic Literature Review</t>
  </si>
  <si>
    <t>UNIVERSITAS PSYCHOLOGICA</t>
  </si>
  <si>
    <t>counting; math; preschool; number; systematic review; cognitive development</t>
  </si>
  <si>
    <t>ABILITIES; WORDS; ATTENTION; LANGUAGE; NUMERACY; CHINESE; ORIGINS; SKILLS; KEY</t>
  </si>
  <si>
    <t>Learning to count discrete exact quantities is one of the first milestones in the development of children's mathematical knowledge. In recent years there has been an extensive debate about how this learning process occurs in preschool. The current research aims to identify the themes and general research questions developed in the last five years in terms of children's counting and learning of the natural number system in preschoolers. To this end, a systematic review was conducted through ScienceDirect, EBSCO, Web of Science, SpringerLink, JSTOR and Sage databases. A total of 98 research articles were obtained and then analyzed by using cluster analysis and hierarchical maps using NVIVO 11.0. Four thematic nuclei were found (Ideas about the cognitive processes involved in the understanding of number, representation of numerical magnitudes, interventions to favor the development of mathematical skills and structural aspects of number), that show the current state of research on counting. The results of this study are important to define possible future research programs and can be used by teachers as input to enrich the learning environments of their classrooms.</t>
  </si>
  <si>
    <t>[Santana Espitia, Ana Cristina] Univ Pedag &amp; Tecnol Colombia, Sede Tunja, Colombia; [Otalora, Yenny] Univ Valle, Cali, Colombia; [Taborda-Osorio, Hernando] Pontificia Univ Javeriana, Bogota, Colombia</t>
  </si>
  <si>
    <t>Universidad Pedagogica y Tecnologica de Colombia (UPTC); Universidad del Valle; Pontificia Universidad Javeriana</t>
  </si>
  <si>
    <t>Taborda-Osorio, H (corresponding author), Pontificia Univ Javeriana, Bogota, Colombia.</t>
  </si>
  <si>
    <t>hernando.taborda@javeriana.edu.co</t>
  </si>
  <si>
    <t>Aunio P, 2021, EARLY CHILD RES Q, V55, P252, DOI 10.1016/j.ecresq.2020.12.002; Baer C, 2019, COGNITIVE DEV, V52, DOI 10.1016/j.cogdev.2019.100817; Bojorque G, 2017, EUR J PSYCHOL EDUC, V32, P449, DOI 10.1007/s10212-016-0306-9; Cahoon A, 2021, LEARN INSTR, V75, DOI 10.1016/j.learninstruc.2021.101484; Cantlon JF, 2015, PSYCHOL SCI, V26, P853, DOI 10.1177/0956797615572907; Carey S., 2009, ORIGIN CONCEPTS; Chan JYC, 2020, EARLY CHILD RES Q, V50, P65, DOI 10.1016/j.ecresq.2019.03.002; Chan JYC, 2017, J EXP CHILD PSYCHOL, V156, P62, DOI 10.1016/j.jecp.2016.11.008; Cheon BK, 2020, SOC PSYCHOL PERS SCI, V11, P928, DOI 10.1177/1948550620927269; Cheung CN, 2019, J EXP CHILD PSYCHOL, V187, DOI 10.1016/j.jecp.2019.06.004; Chew CS, 2016, J EXP CHILD PSYCHOL, V152, P173, DOI 10.1016/j.jecp.2016.07.001; Ching BHH, 2017, LEARN INSTR, V47, P65, DOI 10.1016/j.learninstruc.2016.10.008; Cornu V, 2018, J EXP CHILD PSYCHOL, V166, P604, DOI 10.1016/j.jecp.2017.09.006; Crollen V, 2020, J EXP CHILD PSYCHOL, V190, DOI 10.1016/j.jecp.2019.104729; Dehaene S., 2011, NUMBER SENSE, DOI DOI 10.1016/C2010-0-66570-9; Dehaene S, 2009, ANN NY ACAD SCI, V1156, P232, DOI 10.1111/j.1749-6632.2009.04469.x; Fabbri M, 2016, CONSCIOUS COGN, V40, P45, DOI 10.1016/j.concog.2015.12.012; Frank MC, 2008, COGNITION, V108, P819, DOI 10.1016/j.cognition.2008.04.007; Friso-van den Bos I, 2018, FRONT PSYCHOL, V9, DOI 10.3389/fpsyg.2018.00975; Gordon P, 2004, SCIENCE, V306, P496, DOI 10.1126/science.1094492; Hannula MM, 2005, LEARN INSTR, V15, P237, DOI 10.1016/j.learninstruc.2005.04.005; Henrich J, 2010, BEHAV BRAIN SCI, V33, P111, DOI 10.1017/S0140525X10000725; Hirsch S, 2018, J EXP CHILD PSYCHOL, V167, P32, DOI 10.1016/j.jecp.2017.09.015; Izard V, 2008, PHILOS PSYCHOL, V21, P491, DOI 10.1080/09515080802285354; Le Corre M, 2016, COGNITIVE PSYCHOL, V88, P162, DOI 10.1016/j.cogpsych.2016.06.003; Leslie AM., 2007, INNATE MIND, V3, P109; Malone SA, 2021, J EXP CHILD PSYCHOL, V208, DOI 10.1016/j.jecp.2021.105120; MILLER KF, 1987, COGNITIVE DEV, V2, P279, DOI 10.1016/S0885-2014(87)90091-8; Ouyang XZ, 2021, EARLY CHILD RES Q, V57, P51, DOI 10.1016/j.ecresq.2021.05.005; Page MJ, 2021, SYST REV-LONDON, V10, DOI 10.1186/s13643-021-01626-4; PEDROSA I, 2014, ACCION PSICOL, V10, P3, DOI [10.5944/ap.10.2.1182026, DOI 10.5944/AP.10.2.11820]; Piantadosi ST, 2014, DEVELOPMENTAL SCI, V17, P553, DOI 10.1111/desc.12078; Pixner S, 2018, FRONT PSYCHOL, V9, DOI 10.3389/fpsyg.2018.01636; Rodriguez J, 2018, COGNITIVE DEV, V48, P235, DOI 10.1016/j.cogdev.2018.09.004; Schneider RM, 2021, DEVELOPMENTAL SCI, V24, DOI 10.1111/desc.13091; Schneider RM, 2020, COGNITIVE PSYCHOL, V117, DOI 10.1016/j.cogpsych.2019.101263; Sella F, 2021, CHILD DEV PERSPECT, V15, P265, DOI 10.1111/cdep.12428; Spaepen E, 2011, P NATL ACAD SCI USA, V108, P3163, DOI 10.1073/pnas.1015975108; Tam YP, 2019, CONTEMP EDUC PSYCHOL, V56, P14, DOI 10.1016/j.cedpsych.2018.10.007; Valcan DS, 2020, J APPL DEV PSYCHOL, V70, DOI 10.1016/j.appdev.2020.101196; WYNN K, 1992, COGNITIVE PSYCHOL, V24, P220, DOI 10.1016/0010-0285(92)90008-P; WYNN K, 1990, COGNITION, V36, P155, DOI 10.1016/0010-0277(90)90003-3; Yang XJ, 2020, EARLY CHILD RES Q, V53, P208, DOI 10.1016/j.ecresq.2020.04.003</t>
  </si>
  <si>
    <t>PONTIFICA UNIV JAVERIANA, FAC PSYCH</t>
  </si>
  <si>
    <t>CARRERA 5 NUM 39-00, EDIFICIO MANUEL BRICENO, BOGOTA, 00000, COLOMBIA</t>
  </si>
  <si>
    <t>1657-9267</t>
  </si>
  <si>
    <t>UNIV PSYCHOL</t>
  </si>
  <si>
    <t>Univ. Psychol.</t>
  </si>
  <si>
    <t>10.11144/Javeriana.upsy21.acnn</t>
  </si>
  <si>
    <t>Social Science Citation Index (SSCI)</t>
  </si>
  <si>
    <t>7J8GQ</t>
  </si>
  <si>
    <t>WOS:000904823000002</t>
  </si>
  <si>
    <t>Suarez-Baron, MJ; Rincon-Diaz, HJ; Gonzalez-Rodriguez, CD; Gonzalez-Sanabria, JS</t>
  </si>
  <si>
    <t>Suarez-Baron, Marco-Javier; Rincon-Diaz, Holman-Jair; Gonzalez-Rodriguez, Carlos-Daniel; Gonzalez-Sanabria, Juan-Sebastian</t>
  </si>
  <si>
    <t>Linja: A Mobile Application Based on Minimax Strategy and Game Theory</t>
  </si>
  <si>
    <t>REVISTA FACULTAD DE INGENIERIA, UNIVERSIDAD PEDAGOGICA Y TECNOLOGICA DE COLOMBIA</t>
  </si>
  <si>
    <t>game theory; Linja; minimax; mobile game; optimization</t>
  </si>
  <si>
    <t>FRAMEWORK</t>
  </si>
  <si>
    <t>This article presents an application of Minimax strategy and game theory to implement the Linja mobile game. This game theory strategy applies collaborative learning to determine the winner of a game between two opponents, thus determining the optimal move in complex environments. In the development of the collaborative game, different game learning scenarios are proposed where competition between a player and the machine, and competitions against other players, intervene. In the learning process, moves are proposed that allow the maximum gain and the minimum loss among the competitors. In this case, the methodological approach was carried out towards the move that allows maximizing the profit and minimizing the loss, based on the application of the Mini/Max algorithm in search of determining the optimal solution of the game. The process is obtained from the adaptation of mathematical models for the development of games, using specialized tools that support a multi-paradigm programming language working together with the tools that the same language provides and that potentially serve as a contribution to the development of the game. In the search for an intelligent and autonomous system. The intelligent system correctly finds the winner of a game, showing the course of the game move by move. The results show that the game developed with the Minimax strategy allows automatic learning in multiuser environments, correctly identifying the winner of a game, generating the most optimal route of the game from move to move.</t>
  </si>
  <si>
    <t>[Suarez-Baron, Marco-Javier] Univ Pedag &amp; Tecnol Colombia, Sogamoso Boyaca, Colombia; [Rincon-Diaz, Holman-Jair] Infogex SAS, Tunja Boyaca, Colombia; [Gonzalez-Rodriguez, Carlos-Daniel] Heinsohn Grp Empresarial, Tunja Boyaca, Colombia; [Gonzalez-Sanabria, Juan-Sebastian] Univ Pedag &amp; Tecnol Colombia, Tunja Boyaca, Colombia</t>
  </si>
  <si>
    <t>Suarez-Baron, MJ (corresponding author), Univ Pedag &amp; Tecnol Colombia, Sogamoso Boyaca, Colombia.</t>
  </si>
  <si>
    <t>marco.suarez@uptc.edu.co; juansebastia.gonzalez@uptc.edu.co</t>
  </si>
  <si>
    <t>SUAREZ BARON, MARCO JAVIER/0000-0003-1656-4452; Gonzalez-Sanabria, Juan-Sebastian/0000-0002-1024-6077</t>
  </si>
  <si>
    <t>Ferro LS, 2021, ENTERTAIN COMPUT, V36, DOI 10.1016/j.entcom.2020.100375; Fu QK, 2018, COMPUT EDUC, V119, P129, DOI 10.1016/j.compedu.2018.01.004; Hernández-Horta Ingrid A., 2018, Form. Univ., V11, P31; Huyen DTK, 2021, J FIX POINT THEORY A, V23, DOI 10.1007/s11784-021-00851-7; Kang X. Y., 2019, J INTELLIGENT LEARNI, V11, P15, DOI 10.4236/jilsa.2019.112002; Ko CH, 2021, MOB INF SYST, V2021, DOI 10.1155/2021/1789750; Kristiadi D. P., 2020, TELKOMNIKA, V18, P1983, DOI [10.12928/telkomnika.v18i4.14896, DOI 10.12928/TELKOMNIKA.V18I4.14896]; Machfiroh Runik, 2021, Journal of Physics: Conference Series, V1764, DOI 10.1088/1742-6596/1764/1/012081; Madbouly MM, 2022, CMC-COMPUT MATER CON, V70, P3205, DOI 10.32604/cmc.2022.019440; Muros FJ, 2021, REV IBEROAM AUTOM IN, V18, P93, DOI 10.4995/riai.2020.13456; Reinhardt R, 2018, LONG RANGE PLANN, V51, P770, DOI 10.1016/j.lrp.2018.01.004; Robalo T., 2020, THESIS U POLITECNICA</t>
  </si>
  <si>
    <t>0121-1129</t>
  </si>
  <si>
    <t>2357-5328</t>
  </si>
  <si>
    <t>REV FAC ING-UPTC</t>
  </si>
  <si>
    <t>Rev. Fac. Ing. Univ. Pedagog. Tecnol. Colmb.</t>
  </si>
  <si>
    <t>JAN 16</t>
  </si>
  <si>
    <t>e14136</t>
  </si>
  <si>
    <t>10.19053/01211129.v31.n59.2022.14136</t>
  </si>
  <si>
    <t>ZX5CT</t>
  </si>
  <si>
    <t>WOS:000771913900001</t>
  </si>
  <si>
    <t>Ortiz-Martinez, Y; Figueroa-Alcina, D; Florez-Collantes, H; Collazos-Torres, A; Diaz-Montes, A; Vega-Useche, C</t>
  </si>
  <si>
    <t>Ortiz-Martinez, Yeimer; Figueroa-Alcina, Diego; Florez-Collantes, Helvan; Collazos-Torres, Alejandra; Diaz-Montes, Ana; Vega-Useche, Camilo</t>
  </si>
  <si>
    <t>Impact of World Tuberculosis Day 2022 during COVID-19 Pandemic: An Analysis Using Google Trends (TM)</t>
  </si>
  <si>
    <t>INTERNATIONAL JOURNAL OF MYCOBACTERIOLOGY</t>
  </si>
  <si>
    <t>[Ortiz-Martinez, Yeimer; Figueroa-Alcina, Diego; Florez-Collantes, Helvan] Univ Ind Santander, Dept Internal Med, Bucaramanga, Colombia; [Ortiz-Martinez, Yeimer; Collazos-Torres, Alejandra; Diaz-Montes, Ana] Univ Sucre, Fac Hlth Sci, Sincelejo, Colombia; [Vega-Useche, Camilo] Univ Pedag &amp; Tecnol Colombia, Grp Invest GISABA, Tunja, Colombia</t>
  </si>
  <si>
    <t>Universidad Industrial de Santander; Universidad Pedagogica y Tecnologica de Colombia (UPTC)</t>
  </si>
  <si>
    <t>Ortiz-Martinez, Y (corresponding author), Calle 18 32-06, Bucaramanga, Santander, Colombia.</t>
  </si>
  <si>
    <t>yeimer10@hotmail.com</t>
  </si>
  <si>
    <t>Ortiz-Martinez, Yeimer/0000-0001-9035-5654</t>
  </si>
  <si>
    <t>Ortiz-Martinez Y, 2022, INT J TUBERC LUNG D, V26, P177, DOI 10.5588/ijtld.21.0651; Ortiz-Martinez Y, 2017, J INFECT PUBLIC HEAL, V10, P690, DOI 10.1016/j.jiph.2016.09.015; Petersen E, 2022, INT J INFECT DIS, V124, pS1, DOI 10.1016/j.ijid.2022.02.057; Pullan S, 2021, VACCINE, V39, P1877, DOI 10.1016/j.vaccine.2021.03.019; Sgro A, 2019, INT J TUBERC LUNG D, V23, P824, DOI 10.5588/ijtld.18.0618</t>
  </si>
  <si>
    <t>WOLTERS KLUWER MEDKNOW PUBLICATIONS</t>
  </si>
  <si>
    <t>MUMBAI</t>
  </si>
  <si>
    <t>WOLTERS KLUWER INDIA PVT LTD , A-202, 2ND FLR, QUBE, C T S  NO 1498A-2 VILLAGE MAROL, ANDHERI EAST, MUMBAI, Maharashtra, INDIA</t>
  </si>
  <si>
    <t>2212-5531</t>
  </si>
  <si>
    <t>2212-554X</t>
  </si>
  <si>
    <t>INT J MYCOBACT</t>
  </si>
  <si>
    <t>Int. J. Mycobact.</t>
  </si>
  <si>
    <t>10.4103/ijmy.ijmy_63_22</t>
  </si>
  <si>
    <t>Infectious Diseases; Microbiology</t>
  </si>
  <si>
    <t>5H4SI</t>
  </si>
  <si>
    <t>WOS:000867670000018</t>
  </si>
  <si>
    <t>Gil-Novoa, JE; Costa, DP</t>
  </si>
  <si>
    <t>Gil-Novoa, Jorge Enrique; Costa, Denise Pinheiro</t>
  </si>
  <si>
    <t>Synopsis of the species of Cheilolejeunea (Marchantiophyta, Lejeuneaceae) in the Pacific dominion and P?ramo province of tropical America</t>
  </si>
  <si>
    <t>PHYTOTAXA</t>
  </si>
  <si>
    <t>Lejeuneaceae; liverworts; taxonomy; tropical South America</t>
  </si>
  <si>
    <t>STEPH. LEJEUNEACEAE; SPRUCE SCHIFFN.; BRYOPHYTE FLORA; JUNGERMANNIOPSIDA; COMBINATIONS; PHYLOGENY; CLASSIFICATION; LEUCOLEJEUNEA; HEPATICAE; KNOWLEDGE</t>
  </si>
  <si>
    <t>Cheilolejeunea is the third largest genus of the family Lejeuneaceae (Marchantiophyta) comprising approximately 130 species described globally; approximately 55 have been recorded for the Neotropics. We present here a synopsis of 31 species and four varieties of Cheilolejeunea that occur in the Pacific dominion and Paramo province of tropical America, representing 56% of the Neotropical diversity and ca. 19% of the global diversity of the genus. Most taxa (30 species and four varieties) occur in the Pacific dominion, with Cheilolejeunea schiavoneana being endemic to this dominion; Cheilolejeunea erostrata is endemic to the Paramo province, that registers 10 species and one variety. The highest diversity (26 taxa) is in the Magdalena province. In terms of ecology, Cheilolejeunea is most speciose in the lower montane rainforest (700-2400 m), with 77% of taxa (27) occurring in this ecosystem. We consider Cheilolejeunea erostrata to be Critically Endangered (CR-B1a). The synopsis of the genus includes descriptions of the species, notes on their distributions and habitats, illustrations, and an identification key.</t>
  </si>
  <si>
    <t>[Gil-Novoa, Jorge Enrique] Inst Pesquisas Jardim Bot Rio De Janeiro, Programa Posgrad Bot, Escola Nacl Bot Trop, Rua Pacheco Leao 2040, BR-22460080 Rio De Janeiro, RJ, Brazil; [Costa, Denise Pinheiro] Inst Pesquisas Jardim Bot Rio Janeiro IPJBRJ, Rua Pacheco Leao 915, BR-22460030 Rio De Janeiro, RJ, Brazil; [Gil-Novoa, Jorge Enrique] Univ Pedag &amp; Tecnol Colombia, Grp Sistemat Biol, Herbario UPTC, Tunja, Boyaca, Colombia</t>
  </si>
  <si>
    <t>Jardim Botanico do Rio de Janeiro; Universidad Pedagogica y Tecnologica de Colombia (UPTC)</t>
  </si>
  <si>
    <t>Gil-Novoa, JE (corresponding author), Inst Pesquisas Jardim Bot Rio De Janeiro, Programa Posgrad Bot, Escola Nacl Bot Trop, Rua Pacheco Leao 2040, BR-22460080 Rio De Janeiro, RJ, Brazil.;Gil-Novoa, JE (corresponding author), Univ Pedag &amp; Tecnol Colombia, Grp Sistemat Biol, Herbario UPTC, Tunja, Boyaca, Colombia.</t>
  </si>
  <si>
    <t>jorge.gil@uptc.edu.co; denisepinheirodacosta@gmail.com</t>
  </si>
  <si>
    <t>FAPERJ [E-26/010.001854/2019]; Escola Nacional de Botanica Tropical; CAPES</t>
  </si>
  <si>
    <t>FAPERJ(Fundacao Carlos Chagas Filho de Amparo a Pesquisa do Estado do Rio De Janeiro (FAPERJ)); Escola Nacional de Botanica Tropical; CAPES(Coordenacao de Aperfeicoamento de Pessoal de Nivel Superior (CAPES))</t>
  </si>
  <si>
    <t>The authors thank the Jardim Botanico do Rio de Janeiro for providing the infrastructure for this research, the RB Herbarium staff for managing the specimen loans, the curators of various herbaria for their loans, and especially to M.E. Morales-Puentes for facilitating the review of specimens from other herbaria in UPTC. We also greatly appreciate M.A. Rezende for the illustrations and thank FAPERJ for financial support (Grant APQ1 no. E-26/010.001854/2019). We also thank the anonymous reviewers and the editor C. Cargill for the critical revision of the manuscript that has led to major improvement of the paper. The first author thanks the Escola Nacional de Botanica Tropical for the doctoral studies funding, and CAPES for the scholarship grant.</t>
  </si>
  <si>
    <t>Angstrom J., 1876, VETENSKAPS AKAD FORH, V33, P77; Cabrera A., 1973, BIOGEOGRAFIA AM LATI; Campos LV, 2019, J BRYOL, V41, P328, DOI 10.1080/03736687.2019.1641898; Campos LV, 2014, CRYPTOGAMIE BRYOL, V35, P77, DOI 10.7872/cryb.v35.iss1.2014.77; Celis M., 2016, CAT LOGO PLANTAS L Q; Macedo LPC, 2020, NOVA HEDWIGIA, V111, P77, DOI 10.1127/nova_hedwigia/2020/0594; Dal Forno M, 2017, FUNGAL DIVERS, V85, P45, DOI 10.1007/s13225-017-0380-6; Dauphin G, 2003, J BRYOL, V25, P259, DOI 10.1179/037366803225013128; Dauphin G., 2005, BRYOPHYTE DIVERSITY, V26, P141, DOI [10.11646/bde.26.1.17, DOI 10.11646/BDE.26.1.17]; Dauphin G, 2008, CRYPTOGAMIE BRYOL, V29, P215; Dong SS, 2013, PHYTOTAXA, V85, P41, DOI 10.11646/phytotaxa.85.2.2; Evans A. W., 1903, B TORREY BOT CLUB, V30, P544, DOI DOI 10.2307/2478516; Evans A.W., 1907, TORREYA, V7, P225; EVANS A. W., 1906, B TORREY BOT CLUB, V33, P1, DOI DOI 10.2307/2478618; Evans A.W., 1905, B TORREY BOT CLUB, V32, P179, DOI [10.2307/2478831, DOI 10.2307/2478831, http://dx.doi.org/10.2307/2478831]; Evans A.W., 1902, MEM TORREY BOT CLUB, V8, P113, DOI [10.5962/bhl.title.97556, DOI 10.5962/BHL.TITLE.97556]; Evans A.W., 1900, T CONNECTICUT ACAD A, V10, P387; Gil-Novoa J.E., BIOGEOGRAPHIC CLIMAT; Gottsche C.M., 1847, SYNOPSIS HEPATICARUM, V5, P625, DOI DOI 10.5962/BHL.TITLE.15221; Gottsche C.M., 1845, SYNOPSIS HEPATICARUM, V3, P305, DOI [http://dx.doi.org/10.5962/bhl.title.15221, DOI 10.5962/BHL.TITLE.15221]; Gradstein S. R., 2020, FRAHMIA, V17, P1, DOI DOI 10.1007/978-3-030-49450-6_1; Gradstein S. R., 2021, MEMOIRS NEW YORK BOT, V121, P1, DOI [10.1007/978-3-030-49450-6, DOI 10.1007/978-3-030-49450-6]; Gradstein S. R., 2009, MEMOIRS NEW YORK BOT, V76, P1; Gradstein SR, 2021, NOVA HEDWIGIA, V113, P75, DOI 10.1127/nova_hedwigia/2021/0648; Gradstein SR, 2017, CRYPTOGAMIE BRYOL, V38, P335, DOI 10.7872/cryb/v38.iss4.2017.335; Gradstein SR, 2017, B SOC ARGENT BOT, V52, P325, DOI 10.31055/1851.2372.v52.n2.17447; Gradstein SR, 2013, PHYTOTAXA, V76, P45; Gradstein S. Robbert, 2001, Memoirs of the New York Botanical Garden, V86, P1; Gradstein S. Robbert, 2006, Willdenowia, V36, P557, DOI 10.3372/wi.36.36152; Gradstein SR, 2016, CATALOGO PLANTAS LIQ; GRADSTEIN SR, 1993, J HATTORI BOT LAB, V74, P59; Grolle R, 1997, J BRYOL, V19, P781, DOI 10.1179/jbr.1997.19.4.781; Grolle R, 2001, TAXON, V50, P1067, DOI 10.2307/1224721; GROLLE R, 1990, ANN BOT FENN, V27, P119; GROLLE R, 1983, Acta Botanica Fennica, V121, P1; GROLLE R, 1977, J BRYOL, V9, P529, DOI 10.1179/jbr.1977.9.4.529; Grolle R, 1999, J BRYOL, V21, P31, DOI 10.1179/jbr.1999.21.1.31; Grolle R., 1988, J HATTORI BOT LAB, V65, P403; GROLLE R., 1979, J HATTORI BOT LAB, V45, P173; Grolle R., 1995, BRYOPHYTORUM BIBLIOT, V48, P1; Grolle R., 1985, J HATTORI BOT LAB, V58, P197; Hallingback Tomas, 1998, Lindbergia, V23, P6; Harling G, 1979, TROPICAL BOT, P165; HATTORI S, 1969, DAN BOT ARK, V27, P91; He XL, 1996, ANN BOT FENN, V33, P51; HERZOG T., 1955, FEDDES REP SPEC NOV REG VEG, V57, P156; HERZOG TH, 1934, HEDWIGIA, V74, P79; Hoffmann G, 1936, ANN BRYOLOGY, V8, P80; JONES EUSTACE W., 1954, TRANS BRIT BRYOL SOC, V2, P380; Jorgensen P.M., 1999, CATALOGUE VASCULAR P, V75, P42; KACHROO P., 1961, JOUR LINNEAN SOC LONDON BOT, V56, P475; Kachroo P., 1968, CEYLON J SCI BIO SCI, V9, P1; Lee GE, 2020, DATA BRIEF, V28, DOI 10.1016/j.dib.2019.104958; Lee GE, 2013, CRYPTOGAMIE BRYOL, V34, P381, DOI 10.7872/cryb.v34.iss4.2013.381; Lehmann J.G.C., 1833, NOVARUM MINUS COGNIT, VV; Lehmann J.G.C., 1838, NOVARUM MINUS COGNIT, VVII; Lehmann J.G.C., 1832, NOVARUM MINUS COGNIT, VIV; Lehmann J.G.C, 1834, NOVARUM MINUS COGNIT, VVI; Leon-Yanez S., 2006, HEPATICAS ANTOCEROS; Libert M -A., 1820, ANN GEN SCI PHYS, V6, P372, DOI DOI 10.7872/CRYB.V33.ISS3.2012.199; Linares E, 2002, LIBRO ROJO BRIOFITAS; Luteyn James L., 1999, Memoirs of the New York Botanical Garden, V84, P1; Malombe I., 2009, Acta Botanica Hungarica, V51, P315, DOI 10.1556/ABot.51.2009.3-4.8; Mitten W., 1861, BOT J LINN SOC, V5, P109, DOI [10.1111/j.1095-8312.1861.tb01343.x, DOI 10.1111/J.1095-8312.1861.TB01343.X]; Mizutani M., 1964, J HATTORI BOT LAB, V27, P131; Mizutani M., 1963, J HATTORI BOT LAB, V26, P171; Montagne J.F.C., 1840, ANN SCI NAT BOT BIOL, V14, P321; Morrone JJ, 2022, AN ACAD BRAS CIENC, V94, DOI 10.1590/0001-3765202220211167; Morrone Juan J., 2004, Rev. Bras. entomol., V48, P149, DOI 10.1590/S0085-56262004000200001; Morrone JJ, 2014, ZOOTAXA, V 3782, P1, DOI 10.11646/zootaxa.3782.1.1; Mustelier-Martinez K., 2012, BRIOLATINA, V61, P5; Nees C.G.D., 1833, FLORA BRASILIENSIS, P294, DOI [http://dx.doi.org/10.5962/bhl.title.454, DOI 10.5962/BHL.TITLE.454]; Noske NM, 2003, CRYPTOGAMIE BRYOL, V24, P15; Ovelar BDC, 2022, NOVA HEDWIGIA, V115, P57, DOI 10.1127/nova_hedwigia/2022/0695; Bastos CJP, 2020, NOVA HEDWIGIA, V111, P287, DOI 10.1127/nova_hedwigia/2020/0596; Passos Bastos Cid Jose, 2017, Pesquisas Botanica, P5; Bastos CJP, 2016, PHYTOTAXA, V277, P36, DOI 10.11646/phytotaxa.277.1.3; Bastos CJP, 2012, J BRYOL, V34, P312, DOI 10.1179/1743282012Y.0000000026; Bastos CJP, 2012, J BRYOL, V34, P66, DOI 10.1179/1743282011Y.0000000033; Bastos CJP, 2011, J BRYOL, V33, P86; Patino J, 2018, CRIT REV PLANT SCI, V37, P175, DOI 10.1080/07352689.2018.1482444; Pearson W.H., 1887, FORHANDLINGER VIDENS, V1887, P1; Prantl K.A.E., 1892, HEDWIGIA, V31, P8; Rasband W.S., 2009, IMAGEJ; Reiner-Drehwald M.E., 1998, TROPICAL BRYOLOGY, V14, P53, DOI [10.11646/bde.14.1.9, DOI 10.11646/BDE.14.1.9]; Reiner-Drehwald M.E., 1993, TROPICAL BRYOLOGY, V7, P13, DOI [10.11646/bde.7.1.4, DOI 10.11646/BDE.7.1.4]; Reiner-Drehwald ME, 2006, NOVA HEDWIGIA, V83, P473, DOI 10.1127/0029-5035/2006/0083-0473; Reinwardt C.G.C., 1824, NOVA ACTA PHYSICO ME, V12, P181; Schafer-Verwimp A, 2014, PHYTOTAXA, V172, P201, DOI 10.11646/phytotaxa.172.3.3; Schaefer-Verwimp A, 2013, PHYTOTAXA, V128, P1; Schafer-Verwimp A, 2014, PHYTOTAXA, V170, P187, DOI 10.11646/phytotaxa.170.3.4; Schafer-Verwimp A., 1999, HAUSSKNECHTIA S, V9, P317; Schiffner V., 1893, NATURL PFLANZ, V1, P1; SCHUSTER R M, 1980, Phytologia, V45, P415; Schuster R.M., 1980, HEPATICAE ANTHOCEROT, V4; Schuster R. M., 1963, NOVA HEDWIGIA S, V9, P1; Schuster R.M., 1978, PHYTOLOGIA, V39, P425, DOI [10.5962/bhl.part.7622, DOI 10.5962/BHL.PART.7622]; Schuster R.M., 1971, SO APPALACHIAN BOT S, V36, P90; SCHUSTER RUDOLF M., 1955, JOUR ELISHA MITCHELL SCI SOC, V71, P106; Sergio Cecilia, 2006, LINDBERGIA, V31, P109; Shu L, 2015, J BRYOL, V37, P297, DOI 10.1179/1743282015Y.0000000019; Singh D., 2012, LINDBERGIA, V35, P18; Soderstrom L, 2016, PHYTOKEYS, P1, DOI 10.3897/phytokeys.59.6261; Spruce R., 1884, T P BOT SOC EDINBURG, V15, P1, DOI DOI 10.5962/BHL.TITLE.115637; Stephani F., 1916, BIBLIOTHECA BOT, V87, P1, DOI DOI 10.5962/BHL.TITLE.736; Stephani F., 1897, B LHERBIER BOISSIER, V5, P76; Stephani F., 1889, HEDWIGIA, V28, P155; Stephani F., 1911, SPECIES HEPATICARUM, V4, P449, DOI DOI 10.5962/BHL.TITLE.95494; Stephani F., 1914, SPECIES HEPATICARUM, V5, P449; Stephani F., 1913, SPECIES HEPATICARUM, V5, P177, DOI [10.5962/bhl.title.95494, DOI 10.5962/BHL.TITLE.95494]; Stephani R., 1890, BOT GAZ, V15, P281, DOI [10.1086/326585, DOI 10.1086/326585]; Stotler R., 1998, BRYOPHYTE DIVERSITY, V15, P167, DOI [10.11646/bde.15.1.14, DOI 10.11646/BDE.15.1.14]; Swartz OP, 1788, NOVA GENERA SPECIES; Thiers B.M., 1992, TROPICAL BRYOLOGY, V5, P11, DOI [10.11646/bde.5.1.5, DOI 10.11646/BDE.5.1.5]; Thiers BM, 2016, BRITTONIA, V68, P324, DOI 10.1007/s12228-016-9423-7; Tye A, 2002, BIODIVERSITY VISION, P12; Wilson R, 2004, MONOG SYST BOTAN, V98, P189; Wilson R, 2007, MOL PHYLOGENET EVOL, V43, P270, DOI 10.1016/j.ympev.2006.10.017; Ye W, 2015, CRYPTOGAMIE BRYOL, V36, P313, DOI 10.7872/cryb/v36.iss4.2015.313; Ye W, 2010, J BRYOL, V32, P279, DOI 10.1179/037366810X12814321877507; Ye W, 2009, J BRYOL, V31, P180, DOI 10.1179/174328209X455280; Zartman C, 2007, GUIA BRIOFITAS EPIFI; Zhu RL, 2006, NOVA HEDWIGIA, V83, P187, DOI 10.1127/0029-5035/2006/0083-0187</t>
  </si>
  <si>
    <t>1179-3155</t>
  </si>
  <si>
    <t>1179-3163</t>
  </si>
  <si>
    <t>Phytotaxa</t>
  </si>
  <si>
    <t>MAR 14</t>
  </si>
  <si>
    <t>10.11646/phytotaxa.587.2.1</t>
  </si>
  <si>
    <t>A7BE9</t>
  </si>
  <si>
    <t>WOS:000956627800001</t>
  </si>
  <si>
    <t>Quintero-Duran, MJ; Candelo-Becerra, JE; Posada, J</t>
  </si>
  <si>
    <t>Quintero-Duran, Michell J.; Candelo-Becerra, John E.; Posada, Johnny</t>
  </si>
  <si>
    <t>Synchronizing a synchronverter to an unbalanced power grid using sequence component decomposition</t>
  </si>
  <si>
    <t>NONLINEAR ENGINEERING - MODELING AND APPLICATION</t>
  </si>
  <si>
    <t>distributed generation; droop control; positive sequence; symmetrical components; synchronverter; virtual synchronous generator</t>
  </si>
  <si>
    <t>STABILITY; INVERTERS</t>
  </si>
  <si>
    <t>The synchronverter is a device used in some microgrids to perform self-synchronization and represent the behavior of a synchronous machine. However, the original control has been proposed for balanced networks, which is not present in all distribution systems. In unbalanced networks, the negative sequence may appear and generate a double frequency oscillation when delivering power or a non-symmetrical current from the inverter; thus, it must compensate unbalanced load. Therefore, this article shows that a synchronverter can be synchronized using the positive sequence even when there are voltage unbalances. The proposed strategy was simulated in the Simulink-Matlab(C) software, considering an unbalanced power grid with a single inverter and a load. The results confirm the effectiveness of this strategy, as the synchronverter can follow the grid frequency and the wave shape amplitude after starting the frequency droop control.</t>
  </si>
  <si>
    <t>[Quintero-Duran, Michell J.] Univ Pedag &amp; Tecnol Colombia, Dept Electromech Engn, Res Grp GENTE, Fac Secc Duitama, Duitama 150462, Colombia; [Candelo-Becerra, John E.] Univ Nacl Colombia, Sede Medellin, Dept Energia Elect &amp; Automat, Fac Minas, Medellin 050034, Colombia; [Posada, Johnny] Univ Autonoma Occidente, Fac Ingn, Nude Ingn Elect, Cali 760030, Colombia</t>
  </si>
  <si>
    <t>Universidad Pedagogica y Tecnologica de Colombia (UPTC); Universidad Nacional de Colombia; Universidad Autonoma de Occidente</t>
  </si>
  <si>
    <t>Quintero-Duran, MJ (corresponding author), Univ Pedag &amp; Tecnol Colombia, Dept Electromech Engn, Res Grp GENTE, Fac Secc Duitama, Duitama 150462, Colombia.</t>
  </si>
  <si>
    <t>michell.quintero@uptc.edu.co; jecandelob@unal.edu.co; jposada@uao.edu.co</t>
  </si>
  <si>
    <t>; Candelo Becerra, John Edwin/B-7061-2015</t>
  </si>
  <si>
    <t>Quintero Duran, Michell Josep/0000-0003-1406-9888; Candelo Becerra, John Edwin/0000-0002-9784-9494</t>
  </si>
  <si>
    <t>Universidad Nacional de Colombia, SedeMedellin, through the Hermes Project [41933]; Universidad Nacional de Colombia, SedeMedellin [FP44842-130-2017]; Colombian Ministry of Science, Technology, and Innovation - Minciencias (Ministerio de Ciencia, Tecnologia e Innovacion - Minciencias) [727-2015]</t>
  </si>
  <si>
    <t>Universidad Nacional de Colombia, SedeMedellin, through the Hermes Project; Universidad Nacional de Colombia, SedeMedellin; Colombian Ministry of Science, Technology, and Innovation - Minciencias (Ministerio de Ciencia, Tecnologia e Innovacion - Minciencias)</t>
  </si>
  <si>
    <t>This research was funded by Universidad Nacional de Colombia, SedeMedellin, through the Hermes Project No. 41933 and the contract FP44842-130-2017 and the Colombian Ministry of Science, Technology, and Innovation - Minciencias (Ministerio de Ciencia, Tecnologia e Innovacion - Minciencias) through the national call 727-2015.</t>
  </si>
  <si>
    <t>Abed ZM, 2022, INT J POWER ELECT DR, V13, P167; Ahmad S, 2021, INT T ELECTR ENERGY, V31, DOI 10.1002/2050-7038.12922; [Anonymous], 2009, 11592009 IEEE; Aouini R., 2015, 2014 INT C EL SCI TE, pp. 1; Aouini R., 2015, 2015 IEEE 12 INT MUL, pp. 1; Arani MFM, 2013, IEEE T POWER SYST, V28, P1373, DOI 10.1109/TPWRS.2012.2207972; Brown E, 2014, IEEE CONV EL ELECT I; Caicedo J, 2017, BRAZIL POWER ELECTR; Chen JR, 2020, IEEE T POWER SYST, V35, P4131, DOI 10.1109/TPWRS.2020.3009858; D'Arco S, 2015, INT J ELEC POWER, V72, P3, DOI 10.1016/j.ijepes.2015.02.005; da Silva Junior GP, 2021, ELECTR POW SYST RES, V197, P1; Elkhatib ME, 2018, IEEE POW ENER SOC GE; Farhat S, 2018, INT REV MODEL SIMUL, V11, P406; Fortescue C. L., 1918, P AM I ELECT ENG, V37, P629; Garces-Gomez YA, 2019, APPL SCI-BASEL, V9, DOI 10.3390/app9235087; Gupta Y, 2021, IEEE T IND APPL, V57, P2954, DOI 10.1109/TIA.2021.3064528; Iravani MR, 2003, IEE P-GENER TRANSM D, V150, P616, DOI 10.1049/ip-gtd:20030779; Kewat S., 2019, 2019 IEEE IND APPL S, pp. 1; Li F, 2019, ICEPT2019: THE 2019 20TH INTERNATIONAL CONFERENCE ON ELECTRONIC PACKAGING TECHNOLOGY, DOI 10.1109/ICEPT47577.2019.245108; Li M, 2021, IEEE J EM SEL TOP P, V9, P3229, DOI 10.1109/JESTPE.2020.3024863; Luo SY, 2021, IEEE T POWER ELECTR, V36, P10879, DOI 10.1109/TPEL.2021.3066162; Lyon W., 1937, APPL METHOD SYMMETRI; Madhav GV., 2021, INT J ENG TRENDS TEC, V69, P201; Mazari MB, 2018, INT REV MODEL SIMUL, V11, P235; Ming WL, 2014, IEEE IND ELEC, P4396, DOI 10.1109/IECON.2014.7049164; Molina E., 2019, APPL SCI, V9, P1; Nirmal S, 2021, IET POWER ELECTRON, V14, P1371, DOI 10.1049/pel2.12134; Phi-Long Nguyen, 2012, 2012 7th IEEE Conference on Industrial Electronics and Applications (ICIEA 2012). Proceedings, P942, DOI 10.1109/ICIEA.2012.6360859; Phoeurn S, 2021, INT J POWER ELECT DR, V12, P1055; Pizarro Perez SA., 2020, INT J ELECT COMPUT E, V10, P637; Rajan R, 2021, RENEW SUST ENERG REV, V144, DOI 10.1016/j.rser.2021.110998; Rong S., 2021, IOP C SER EARTH ENV, V742; Schulze W, 2021, FORSCH INGENIEURWES, V85, P425, DOI 10.1007/s10010-021-00484-9; Sevilmis F, 2021, ENG SCI TECHNOL, V24, P1144, DOI 10.1016/j.jestch.2021.02.011; Shuai ZK, 2017, IEEE T IND ELECTRON, V64, P7467, DOI 10.1109/TIE.2017.2652387; Teodorescu R, 2011, GRID CONVERTERS FOR PHOTOVOLTAIC AND WIND POWER SYSTEMS, P1, DOI 10.1002/9780470667057; Vetoshkin L, 2021, ENERGIES, V14, DOI 10.3390/en14113277; Yap KY, 2021, INT J ELEC POWER, V132, DOI 10.1016/j.ijepes.2021.107180; Zeng Z, 2015, IET POWER ELECTRON, V8, P467, DOI 10.1049/iet-pel.2013.0954; Zhang C., 2014, P 51 ANN DES AUT C D, P1, DOI [DOI 10.1145/2593069.2593124, 10.1109/BTAS.2014.6996295]; Zheng TW, 2018, IET GENER TRANSM DIS, V12, P1621, DOI 10.1049/iet-gtd.2017.0523; Zhenyu Ma, 2012, 2012 7th IEEE Conference on Industrial Electronics and Applications (ICIEA 2012). Proceedings, P225, DOI 10.1109/ICIEA.2012.6360727; Zhong QC, 2014, IEEE T POWER ELECTR, V29, P617, DOI 10.1109/TPEL.2013.2258684; Zhong QC, 2012, IEEE IND ELEC, P691, DOI 10.1109/IECON.2012.6388668; Zhong QC, 2011, IEEE T IND ELECTRON, V58, P1259, DOI 10.1109/TIE.2010.2048839</t>
  </si>
  <si>
    <t>2192-8010</t>
  </si>
  <si>
    <t>2192-8029</t>
  </si>
  <si>
    <t>NONLINEAR ENG-MODEL</t>
  </si>
  <si>
    <t>Nonlinear Eng. Model. Appl.</t>
  </si>
  <si>
    <t>AUG 9</t>
  </si>
  <si>
    <t>10.1515/nleng-2022-0043</t>
  </si>
  <si>
    <t>Engineering, Mechanical; Mathematics, Interdisciplinary Applications</t>
  </si>
  <si>
    <t>Engineering; Mathematics</t>
  </si>
  <si>
    <t>3P8LA</t>
  </si>
  <si>
    <t>WOS:000837784800001</t>
  </si>
  <si>
    <t>Diaz-Merchan, JA; Martinez-Ovalle, SA; Vega-Carrillo, HR</t>
  </si>
  <si>
    <t>Diaz-Merchan, J. A.; Martinez-Ovalle, S. A.; Vega-Carrillo, H. R.</t>
  </si>
  <si>
    <t>Characterization of a novel material to be used as bolus in radiotherapy with electrons</t>
  </si>
  <si>
    <t>Materials; Bolus; Percentage depth dose; Monte Carlo; Geant4</t>
  </si>
  <si>
    <t>SIMULATION; THERAPY; POSTMASTECTOMY</t>
  </si>
  <si>
    <t>Features of new material to be used as bolus in external radiotherapy were determined and their performance were evaluated. The characterization was carried out using Monte Carlo methods with the Geant4 code where the Percentage Depth Dose (PDD) due to electrons was estimated. In the Monte Carlo model the linear accelerator head was included. Calculated results were experimentally validated with measurements made for 6, 9, 12 and 16 MeV electron beams. The key characteristics of the implemented material were identified, guaranteeing a low cost bolus, easy to be customized and to be used in clinical applications. In comparison with commercial ma-terials the new materials are superior from the cost to the effectiveness of their use in clinical treatments.</t>
  </si>
  <si>
    <t>[Diaz-Merchan, J. A.; Martinez-Ovalle, S. A.] Univ Pedag &amp; Tecnol Colombia, Grp Fis Nucl Aplicada &amp; Simulac, Ave Cent Norte 39-115, Tunja, Boyaca, Colombia; [Diaz-Merchan, J. A.; Martinez-Ovalle, S. A.] Ctr Cancerol Boyaca, Ave Univ 46-71, Tunja, Boyaca, Colombia; [Vega-Carrillo, H. R.] Univ Autonoma Zacatecas, Unidad Acad Estudios Nucl, C Cipres 10, Zacatecas 98060, Zac, Mexico</t>
  </si>
  <si>
    <t>Universidad Pedagogica y Tecnologica de Colombia (UPTC); Universidad Autonoma de Zacatecas</t>
  </si>
  <si>
    <t>Diaz-Merchan, JA (corresponding author), Univ Pedag &amp; Tecnol Colombia, Grp Fis Nucl Aplicada &amp; Simulac, Ave Cent Norte 39-115, Tunja, Boyaca, Colombia.</t>
  </si>
  <si>
    <t>jose.diaz@uptc.edu.co</t>
  </si>
  <si>
    <t>Vega-Carrillo, Hector Rene/O-9346-2014</t>
  </si>
  <si>
    <t>Vega-Carrillo, Hector Rene/0000-0002-7081-9084; Martinez Ovalle, Segundo Agustin/0000-0003-3044-3008</t>
  </si>
  <si>
    <t>Ministerio de Ciencia, Tecnologia e Innovacion of Colombia [761]</t>
  </si>
  <si>
    <t>Ministerio de Ciencia, Tecnologia e Innovacion of Colombia</t>
  </si>
  <si>
    <t>Special thanks to the Ministerio de Ciencia, Tecnologia e Innovacion of Colombia for the financial support through the financing contract 761 of 2020, as well as to the management of the Centro de Cancerologia de Boyaca for the support.</t>
  </si>
  <si>
    <t>Agostinelli S, 2003, NUCL INSTRUM METH A, V506, P250, DOI 10.1016/S0168-9002(03)01368-8; Allison J, 2016, NUCL INSTRUM METH A, V835, P186, DOI 10.1016/j.nima.2016.06.125; Apostolakis J, 2009, RADIAT PHYS CHEM, V78, P859, DOI 10.1016/j.radphyschem.2009.04.026; Berger M.J., 1987, XCOM PHOTON CROSS SE; Bernal MA, 2015, PHYS MEDICA, V31, P861, DOI 10.1016/j.ejmp.2015.10.087; Biltekin F, 2021, MED DOSIM, V46, P157, DOI 10.1016/j.meddos.2020.10.005; Boman E, 2018, PHYS MEDICA, V55, P82, DOI 10.1016/j.ejmp.2018.10.023; Canters RA, 2016, RADIOTHER ONCOL, V121, P148, DOI 10.1016/j.radonc.2016.07.011; Ferlay J, 2021, INT J CANCER, V149, P778, DOI 10.1002/ijc.33588; Hubbell J.H., 1995, PB95220539XAB NATL I; ICRU, 1989, J ICRU, V23; Kadri O, 2007, NUCL INSTRUM METH B, V258, P381, DOI 10.1016/j.nimb.2007.02.088; Khan F.M., 2014, KHANS PHYS RAD THERA; KHAN FM, 1991, MED PHYS, V18, P73, DOI 10.1118/1.596695; Lin J, 2016, PRACT RADIAT ONCOL, V6, P105, DOI 10.1016/j.prro.2015.09.011; McDermott PN, 2020, MED DOSIM, V45, P153, DOI 10.1016/j.meddos.2019.09.001; Opp D, 2013, MED DOSIM, V38, P448, DOI 10.1016/j.meddos.2013.08.002; Podgorsak EB, 2010, BIOL MED PHYS BIOMED, P1, DOI 10.1007/978-3-642-00875-7; Schneider CA, 2012, NAT METHODS, V9, P671, DOI 10.1038/nmeth.2089; Seco J., 2013, MONTE CARLO TECHNIQU; Visscher S, 2017, J MED IMAGING RADIAT, V48, P55, DOI 10.1016/j.jmir.2016.08.003</t>
  </si>
  <si>
    <t>10.1016/j.apradiso.2022.110154</t>
  </si>
  <si>
    <t>ZR8EA</t>
  </si>
  <si>
    <t>WOS:000768009900002</t>
  </si>
  <si>
    <t>Quiles, OL; Soler, RNC; Soares-Quadros, JF; Ortiz-Marcos, JM</t>
  </si>
  <si>
    <t>Quiles, Oswaldo Lorenzo; Soler, Ruth Nayibe Cardenas; Soares-Quadros Jr, Joao F.; Ortiz-Marcos, Jose Manuel</t>
  </si>
  <si>
    <t>Curriculum and training analysis of the music degrees in Colombia</t>
  </si>
  <si>
    <t>INTERNATIONAL JOURNAL OF MUSIC EDUCATION</t>
  </si>
  <si>
    <t>Colombia; higher education; music education; qualitative research; quality; training</t>
  </si>
  <si>
    <t>EDUCATION; EXPERIENCE; TEACHERS; IMPACT; STATE</t>
  </si>
  <si>
    <t>This study aims to carry out a global evaluation of 13 Music Education Bachelor Degrees from Colombia, academic programs focused on the higher training of music teachers in this country, and to establish the training guidelines received by the music education professors who study them. The methodology used is empirical-analytical and descriptive-type and makes use of content analysis techniques that NVivo software provide. In addition, mixed and contextual analyses have been combined regarding specific keywords, such as music, pedagogy, and teachers. The instrument applied was a matrix with content validity completed by an international group of nine evaluators. This matrix showed a structure made up of five categories: General description of the program; Curricular characterization; Curriculum structure; Guiding principles of the curriculum; Curriculum management. The results indicate that there are divergences in the approach of the programs at the training of music educators. It is concluded that the differences between these programmes lie mainly in their formative emphasis, music or pedagogy, in a context in which the instructive approaches of higher education in music education have not yet resolved the divergences and the necessary balance between the pedagogy or artistic training.</t>
  </si>
  <si>
    <t>[Quiles, Oswaldo Lorenzo; Ortiz-Marcos, Jose Manuel] Univ Granada, Melilla, Spain; [Soler, Ruth Nayibe Cardenas] Univ Pedag &amp; Tecnol Colombia, Tunja, Colombia; [Soares-Quadros Jr, Joao F.] Univ Fed Ouro Preto, Ouro Preto, Brazil; [Quiles, Oswaldo Lorenzo] Univ Granada, Fac Educ &amp; Sport Sci, Calle Santander 1, Melilla 52005, Spain</t>
  </si>
  <si>
    <t>University of Granada; Universidad Pedagogica y Tecnologica de Colombia (UPTC); Universidade Federal de Ouro Preto; University of Granada</t>
  </si>
  <si>
    <t>Quiles, OL (corresponding author), Univ Granada, Fac Educ &amp; Sport Sci, Calle Santander 1, Melilla 52005, Spain.</t>
  </si>
  <si>
    <t>oswaldo@ugr.es</t>
  </si>
  <si>
    <t>Lorenzo, Oswaldo/B-7028-2015</t>
  </si>
  <si>
    <t>Lorenzo, Oswaldo/0000-0002-1087-8138; ORTIZ MARCOS, JOSE MANUEL/0000-0002-4309-2553</t>
  </si>
  <si>
    <t>Coordination of Superior Level Staff Improvement (CAPES, Brazil); Federal University of Ouro Preto (UFOP, Brazil)</t>
  </si>
  <si>
    <t>The author(s) disclosed receipt of the following financial support for the research, authorship, and/or publication of this article: This work was funded by Coordination of Superior Level Staff Improvement (CAPES, Brazil) and Federal University of Ouro Preto (UFOP, Brazil).</t>
  </si>
  <si>
    <t>Abril JE, 2019, INT J MUSIC EDUC, V37, P370, DOI 10.1177/0255761419842415; Albatineh AN, 2017, COMMUN STAT-SIMUL C, V46, P4018, DOI 10.1080/03610918.2015.1082586; Anderson A, 2022, ARTS ED POLICY REV, P1, DOI [10.1080/10632913.2021.2023060, DOI 10.1080/10632913.2021.2023060]; [Anonymous], 2022, MUS TEACH ED FUT; [Anonymous], 1994, LEY 115; [Anonymous], 1992, LEY 30; [Anonymous], 2010, RESOLUCION 5443; Brandler BJ, 2015, J RES MUSIC EDUC, V63, P281, DOI 10.1177/0022429415597885; Calderon-Garrido D, 2021, REV ELECTRON COMPLU, V18, P127, DOI 10.5209/reciem.64882; Soler RNC, 2015, INT J MUSIC EDUC, V33, P3, DOI 10.1177/0255761413515807; cEneaney E., 2000, HDB SOCIOLOGY ED, P189; Consejo Nacional de Acreditacion, 2006, LIN ACR PROGR; Consejo Nacional de Educacion Superior, 2020, AC 02 CUAL ACT MOD A; Conway C., 2019, OXFORD HDB PRESERVIC; Darling-Hammond L., 2017, EMPOWERED ED HIGH PE; Daskova YV, 2020, PROPOS REPRESENT, V8, DOI 10.20511/pyr2020.v8nSPE2.637; Dillon JT, 2009, J CURRICULUM STUD, V41, P343, DOI 10.1080/00220270802433261; Dominguez-Lloria S, 2020, REV ELECTRON LEEME, P224, DOI 10.7203/LEEME.46.18033; Elliott D. J., 2019, OXFORD HDB PRESERVIC, DOI [10.1093/oxfordhb/9780190671402.013.4, DOI 10.1093/OXFORDHB/9780190671402.013.4]; Forbes M, 2020, BRIT J MUSIC EDUC, V37, P207, DOI 10.1017/S0265051720000200; Georgii-Hemming E, 2020, MUSIC EDUC RES, V22, P245, DOI 10.1080/14613808.2020.1766006; Lopez EMG, 2020, LENG TEXT, P69, DOI 10.4995/lyt.2020.11373; Gonzalez M. B., 2015, REV ELECT LEEME, V36, P1; Gruber H, 2019, INT J LESSON LEARN S, V8, P272, DOI 10.1108/IJLLS-03-2019-0019; Guzmán Romo Jorge Alberto, 2020, Conrado, P385; Hanken IM, 2016, ARTS HUM HIGH EDUC, V15, P364, DOI 10.1177/1474022216647389; Hurtado-Soler A, 2020, FRONT PSYCHOL, V11, DOI 10.3389/fpsyg.2020.02163; Johnson MW, 2020, URBAN EDUC, DOI 10.1177/0042085920948948; Jorquera R., 2020, REV ELECT NICA LEEME, V46, P1, DOI [10.7203/LEEME.46.16932, DOI 10.7203/LEEME.46.16932]; Kehm B. M., 2010, CHANGE, V42, P40, DOI [10.1080/00091381003704677, DOI 10.1080/00091381003704677]; Ladino J. A., 2018, REV CONRADO, V14, P283; Lago P. L., 2016, REV EDUC INCL, V9, P134; Arostegui JL, 2010, PROFESORADO, V14, P3; Arostegui JL, 2010, PROFESORADO, V14, P179; Maia IB, 2019, LAPLAGE REV, V5, P18, DOI 10.24115/S2446-622020195especial775p.18-30; May BN, 2017, J MUSIC TEACH EDUC, V27, P65, DOI 10.1177/1057083717699650; Ministerio de Cultura y ACOFARTES, 2006, REUN NAC ED ART ED A; Mok AO, 2017, BRIT J MUSIC EDUC, V34, P169, DOI 10.1017/S0265051716000498; Navon J, 2020, J MUSICOLOGY, V37, P63, DOI 10.1525/JM.2020.37.1.63; Olcina-Sempere G, 2020, ARTSEDUCA, P23, DOI 10.6035/Artseduca.2020.25.3; Pertuz V, 2020, REV ESP DOC CIENT, V43, DOI 10.3989/redc.2020.2.1686; Sevilla ZMP, 2016, MUSIC EDUC RES, V18, P340, DOI 10.1080/14613808.2016.1242562; Martinez MFR, 2020, REV ELECTRON LEEME, P17, DOI 10.7203/LEEME.45.16231; de Rodriguez MIR, 2018, REV PENSAM AM, V11, P203, DOI 10.21803/pensam.v11i21-1.275; Rosa-Napal FC, 2021, INT J MUSIC EDUC, V39, P50, DOI 10.1177/0255761420919566; Arias BAS, 2018, REV ELECTRON LEEME, P1, DOI 10.7203/LEEME.41.10220; Santos T. D. J. C. P. D., 2020, REV IBERO AMERICANA, V15, P1374, DOI [10.21723/riaee.v15i3.13808, DOI 10.21723/RIAEE.V15I3.13808]; Schiavio A, 2020, MUSIC SCI, V24, P356, DOI 10.1177/1029864918808833; Sieger C, 2019, J MUSIC TEACH EDUC, V29, P56, DOI 10.1177/1057083719865890; Sistema Nacional de Informacion de la Educacion Superior en Colombia-SNIES, 2022, NUM PROGR AR; Smith DV, 2020, RES SCI EDUC, V50, P2111, DOI 10.1007/s11165-018-9765-0; Srinivasan N, 2020, NEUROSCIENCE, V446, P294, DOI 10.1016/j.neuroscience.2020.08.013; Stabback P., 2016, WHAT MAKES QUALITY C; Subirats M. A., 2011, EDUC SIGLO XXI, V29, P175; Tejada J., 2005, DIDACTICA CURRICULUM; Tuksar S, 2017, ARTI MUSIC, V48, P61, DOI 10.21857/90836cdjly; Voegtle EM, 2011, HIGH EDUC, V61, P77, DOI 10.1007/s10734-010-9326-6; Ward J, 2020, TEMPO-UK, V74, P65, DOI 10.1017/S004029822000039X; Waters M, 2020, BRIT J MUSIC EDUC, V37, P221, DOI 10.1017/S0265051720000236; Weber V, 2019, OPUS, V25, P215, DOI 10.20504/opus2019b2510; Yoo H, 2021, J RES MUSIC EDUC, V69, P167, DOI 10.1177/0022429420954880; Yu H, 2019, COMPUTATION STAT, V34, P349, DOI 10.1007/s00180-018-0830-y</t>
  </si>
  <si>
    <t>0255-7614</t>
  </si>
  <si>
    <t>1744-795X</t>
  </si>
  <si>
    <t>INT J MUSIC EDUC</t>
  </si>
  <si>
    <t>Int. J. Music Educ.</t>
  </si>
  <si>
    <t>2023 FEB 11</t>
  </si>
  <si>
    <t>10.1177/02557614231152310</t>
  </si>
  <si>
    <t>FEB 2023</t>
  </si>
  <si>
    <t>Education &amp; Educational Research; Music</t>
  </si>
  <si>
    <t>Social Science Citation Index (SSCI); Arts &amp;amp; Humanities Citation Index (A&amp;amp;HCI)</t>
  </si>
  <si>
    <t>8Y5BP</t>
  </si>
  <si>
    <t>WOS:000932712700001</t>
  </si>
  <si>
    <t>Galeano-Penaloza, J; Casas-Sanchez, OF; Chacon-Cortes, LF</t>
  </si>
  <si>
    <t>Galeano-Penaloza, J.; Casas-Sanchez, Oscar F.; Chacon-Cortes, Leonardo F.</t>
  </si>
  <si>
    <t>Entropy, Feller Processes and p-Adic Analogues of the Scattering Equation</t>
  </si>
  <si>
    <t>P-ADIC NUMBERS ULTRAMETRIC ANALYSIS AND APPLICATIONS</t>
  </si>
  <si>
    <t>entropy methods; p-adic numbers; Feller process; scattering equation; general relative entropy inequality</t>
  </si>
  <si>
    <t>MODELS</t>
  </si>
  <si>
    <t>There are several techniques in the classical case for some integro-differential equations involving the concept of entropy to show some properties of the solution. In this work, we deal with the p-adic scattering equation. We adapt these methods to investigate the convergence of the solutions and their qualitative properties, including mass conservation, regularity and stability. Most of these results follow from the General Relative Entropy Inequality. We also show the existence of Feller processes attached to the p-adic scattering equations.</t>
  </si>
  <si>
    <t>[Galeano-Penaloza, J.] Univ Nacl Colombia, Dept Matemat, Bogota, Colombia; [Casas-Sanchez, Oscar F.] Univ Pedag &amp; Tecnol Colombia, Escuela Matemat &amp; Estadist, Tunja, Colombia; [Chacon-Cortes, Leonardo F.] Pontificia Univ Javeriana, Dept Matemat, Bogota, Colombia</t>
  </si>
  <si>
    <t>Universidad Nacional de Colombia; Universidad Pedagogica y Tecnologica de Colombia (UPTC); Pontificia Universidad Javeriana</t>
  </si>
  <si>
    <t>Galeano-Penaloza, J (corresponding author), Univ Nacl Colombia, Dept Matemat, Bogota, Colombia.</t>
  </si>
  <si>
    <t>jgaleanop@unal.edu.co; oscar.casas01@uptc.edu.co; leonardo.chacon@javeriana.edu.co</t>
  </si>
  <si>
    <t>Albeverio S., 2010, LONDON MATH SOC LECT, V370, DOI 10.1017/CBO9781139107167; Applebaum D, 2019, LOND MATH T, V93, P1, DOI 10.1017/9781108672641; Avetisov VA, 2003, J PHYS A-MATH GEN, V36, P4239, DOI 10.1088/0305-4470/36/15/301; BREZIS H, 1984, ANAL FUNCIONAL; Ethier S N, 2005, MARKOV PROCESSES CHA; Jacob N., 2001, PSEUDO DIFFERENTIAL, V1; Michel P, 2005, J MATH PURE APPL, V84, P1235, DOI 10.1016/j.matpur.2005.04.001; Michel P, 2004, CR MATH, V338, P697, DOI 10.1016/j.crma.2004.03.006; Mischler S, 2002, MATH MOD METH APPL S, V12, P1751, DOI 10.1142/S021820250200232X; OTHMER HG, 1988, J MATH BIOL, V26, P263, DOI 10.1007/BF00277392; Perthame B., 2015, LECT NOTES MATH MODE, DOI DOI 10.1007/978-3-319-19500-1; Perthame B., 2007, TRANSPORT EQUATIONS; SMOLLER J., 1994, SHOCK WAVES REACTION; Torresblanca-Badillo A, 2018, ACTA APPL MATH, V157, P93, DOI 10.1007/s10440-018-0165-2; Zamponi N., 2017, ENTROPY METHODS DIFF</t>
  </si>
  <si>
    <t>PLEIADES PUBLISHING INC</t>
  </si>
  <si>
    <t>PLEIADES HOUSE, 7 W 54 ST, NEW YORK,  NY, UNITED STATES</t>
  </si>
  <si>
    <t>2070-0466</t>
  </si>
  <si>
    <t>2070-0474</t>
  </si>
  <si>
    <t>P-ADIC NUMBERS ULTRA</t>
  </si>
  <si>
    <t>P-Adic Numbers Ultrametric Anal. Appl.</t>
  </si>
  <si>
    <t>10.1134/S2070046622020029</t>
  </si>
  <si>
    <t>1N9GM</t>
  </si>
  <si>
    <t>WOS:000800954800002</t>
  </si>
  <si>
    <t>Martinez-Martinez, A; Lopez-Lopez, W; Acevedo-Triana, C</t>
  </si>
  <si>
    <t>Martinez-Martinez, Adriana; Lopez-Lopez, Wilson; Acevedo-Triana, Cesar</t>
  </si>
  <si>
    <t>Comparison of the performance of cognitive tests in Parkinson Disease patients with and without Deep Brain Stimulation</t>
  </si>
  <si>
    <t>REVISTA CES PSICOLOGIA</t>
  </si>
  <si>
    <t>Parkinson's Disease; deep brain stimulation; neuropsychological evaluation; cognitive functions; neurosurgery; Basal Ganglia</t>
  </si>
  <si>
    <t>QUALITY-OF-LIFE; SUBTHALAMIC NUCLEUS; GLOBUS-PALLIDUS; NEUROPSYCHOLOGICAL CHANGES; METAANALYSIS; IMPAIRMENT; INTERNUS; MUTATION; PDQ-39; TASKS</t>
  </si>
  <si>
    <t>Patients diagnosed with Parkinson's disease show motor alterations together to cognitive, behavioral, and emotional disturbances. An alternative treatment to the exclusive pharmacological medication is the Deep Brain Stimulation procedure (DBS). Some studies have shown altered behavioral patterns after DBS device implantation, suggesting a relationship between a particular performance in cognitive tests derived from the DBS procedure. Our study aimed to compare the performance of cognitive tests in Parkinson's disease patients with and without DBS. Results were analyzed from 47 patients (n = 16 DBS; n = 31 without DBS) in a range since 2011 to 2015. Functions tested were visual categorization, cognitive flexibility, problem solutions, selective attention, cognitive processing speed, behavioral inhibition, and quality of life. In general, there are non-significative differences between groups in functions tested. However, correlations were found depending on the group (DBS or without DBS patients), with more positive correlations inside the DBS group between the similarity test and inversed digits, list of words, symbol search and the sub-test of the Wisconsin Card Sorting Test. In addition, the DBS group showed a low perception of the quality of life associated with the disorder's time compared to the without DBS group. In conclusion, these results are congruent with similar studies of neuropsychological evaluation, and the role of treatment is discussed below the perception of the quality of life.</t>
  </si>
  <si>
    <t>[Martinez-Martinez, Adriana; Lopez-Lopez, Wilson] Pontificia Univ Javeriana, Fac Psicol, Bogota, Colombia; [Acevedo-Triana, Cesar] Univ Pedag &amp; Tecnol Colombia, Escuela Psicol, Tunja, Colombia; [Acevedo-Triana, Cesar] Univ Alabama Birmingham, Dept Neurobiol, Birmingham, AL 35294 USA</t>
  </si>
  <si>
    <t>Pontificia Universidad Javeriana; Universidad Pedagogica y Tecnologica de Colombia (UPTC); University of Alabama System; University of Alabama Birmingham</t>
  </si>
  <si>
    <t>Acevedo-Triana, C (corresponding author), Univ Pedag &amp; Tecnol Colombia, Escuela Psicol, Tunja, Colombia.;Acevedo-Triana, C (corresponding author), Univ Alabama Birmingham, Dept Neurobiol, Birmingham, AL 35294 USA.</t>
  </si>
  <si>
    <t>Aguilar Oscar M, 2011, Suma Psicol., V18, P89; American Psychological Association, 2017, AM PSYCHOL, DOI [10.1037/0003-066X.57.12.1060, DOI 10.1037/0003-066X.57.12.1060]; [Anonymous], 2006, LEY 1090 CODIGO DEON; Ardila-Ardila A, 2003, REV NEUROLOGIA, V36, P756, DOI 10.33588/rn.3608.2002284; Armstrong MJ, 2020, JAMA-J AM MED ASSOC, V323, P548, DOI 10.1001/jama.2019.22360; BARCELO E, 2006, PSICOL CARIBE, V18, P109; Bayram E, 2021, AGING NEUROPSYCHOL C, V28, P812, DOI 10.1080/13825585.2020.1828804; Bickel S, 2010, PARKINSONISM RELAT D, V16, P535, DOI 10.1016/j.parkreldis.2010.06.008; Biundo R, 2016, NPJ PARKINSONS DIS, V2, DOI 10.1038/npjparkd.2016.18; Biundo R, 2014, PARKINSONISM RELAT D, V20, P394, DOI 10.1016/j.parkreldis.2014.01.009; Castelli L, 2010, PARKINSONISM RELAT D, V16, P115, DOI 10.1016/j.parkreldis.2009.08.010; Combs HL, 2015, NEUROPSYCHOL REV, V25, P439, DOI 10.1007/s11065-015-9302-0; Costanza A, 2021, FRONT INTEGR NEUROSC, V15, DOI 10.3389/fnint.2021.632249; Cyron D, 2010, ACTA NEUROCHIR, V152, P2097, DOI 10.1007/s00701-010-0755-x; de la Pena C, 2016, REV NEUROLOGIA, V62, P152, DOI 10.33588/rn.6204.2015432; Demakis George J, 2007, Dis Mon, V53, P152, DOI 10.1016/j.disamonth.2007.04.005; Denheyer M, 2009, NEUROPSYCHOLOGIA, V47, P3203, DOI 10.1016/j.neuropsychologia.2009.07.022; Deogaonkar M, 2011, STEREOT FUNCT NEUROS, V89, P123, DOI 10.1159/000323375; Dowsey-Limousin P, 2001, CLIN NEUROSCI RES, V1, P521, DOI 10.1016/S1566-2772(01)00029-9; Becerra JE, 2016, WORLD NEUROSURG, V93, P44, DOI 10.1016/j.wneu.2016.05.028; El-Nazer R, 2019, PARKINSONISM RELAT D, V65, P73, DOI 10.1016/j.parkreldis.2019.05.014; Elbaz A, 2016, REV NEUROL-FRANCE, V172, P14, DOI 10.1016/j.neurol.2015.09.012; Elgebaly A, 2018, CNS SPECTRUMS, V23, P10, DOI 10.1017/S1092852917000062; Evens R, 2015, NEUROPSYCHOLOGIA, V75, P11, DOI 10.1016/j.neuropsychologia.2015.05.005; Fasano A, 2012, LANCET NEUROL, V11, P429, DOI 10.1016/S1474-4422(12)70049-2; Duque AF, 2015, COLOMB MEDICA, V46, P117; Foley JA, 2021, NEUROPSYCHOLOGIA, V153, DOI 10.1016/j.neuropsychologia.2021.107772; Galtier I, 2009, PSICOTHEMA, V21, P21; GARZÓN-GIRALDO MARÍA LUZ DEY, 2015, CES Med., V29, P255; Glozman J., 2013, NEUROPSICOLOGIA LATI, V5, P58, DOI [10.5579/rnl.2013.0119, DOI 10.5579/RNL.2013.0119]; Guerrero Duque Stella, 2004, rev.colomb.psiquiatr., V33, P423; Haelterman NA, 2014, ANNU REV NEUROSCI, V37, P137, DOI 10.1146/annurev-neuro-071013-014317; Heaton R.K, 1981, WISCONSIN CARD SORTI; Henao-Arboleda E, 2010, REV CHIL NEURO-PSIQU, V5, P213; Hindle JV, 2014, PARKINSONISM RELAT D, V20, P1, DOI 10.1016/j.parkreldis.2013.08.010; Hobson P, 2015, INT J GERIATR PSYCH, V30, P1048, DOI 10.1002/gps.4261; Huang YC, 2015, MEDICINE, V94, DOI 10.1097/MD.0000000000000782; Hurtado F, 2016, UNIV PSYCHOL, V15, DOI 10.11144/Javeriana.upsy15-5.epet; John KD, 2021, ANN CLIN TRANSL NEUR, V8, P613, DOI 10.1002/acn3.51304; Juri C, 2010, J NEUROL SCI, V289, P60, DOI 10.1016/j.jns.2009.08.018; Kurtis MM, 2017, NPJ PARKINSONS DIS, V2, DOI 10.1038/npjparkd.2016.24; Liu Y, 2014, J NEUROSURG, V121, P709, DOI 10.3171/2014.4.JNS131711; Lyons MK, 2011, MAYO CLIN PROC, V86, P662, DOI 10.4065/mcp.2011.0045; Martinez-Martin P, 2005, PARKINSONISM RELAT D, V11, P297, DOI 10.1016/j.parkreldis.2005.02.003; Martinez-Martin P, 1998, J NEUROL, V245, pS34, DOI 10.1007/PL00007737; Martinez-Martinez AM, 2017, PARKINSONS DIS-US, V2017, DOI 10.1155/2017/9641392; McRae C, 2004, ARCH GEN PSYCHIAT, V61, P412, DOI 10.1001/archpsyc.61.4.412; Moreno S, 2010, INT J PSYCHOL RES, V3, P55, DOI 10.21500/20112084.812; Negida A, 2018, CUREUS, V10, DOI 10.7759/cureus.2232; Oh ES, 2011, ARCH GERONTOL GERIAT, V52, P84, DOI 10.1016/j.archger.2010.02.005; Orduz-Bastidas L, 2020, TER PSICOL, V38, P259, DOI 10.4067/S0718-48082020000200259; Pagano G, 2016, NEUROLOGY, V86, P1400, DOI 10.1212/WNL.0000000000002461; Picillo M, 2017, PARKINSONISM RELAT D, V38, P85, DOI 10.1016/j.parkreldis.2017.02.015; Ramos AA, 2021, NEUROPSYCHOL REV, V31, P288, DOI 10.1007/s11065-021-09480-w; Rektorova I, 2019, PARKINSONISM RELAT D, V59, P65, DOI 10.1016/j.parkreldis.2019.02.042; Rodriguez-Violante M, 2015, GAC MED MEX, V151, P169; Saez-Francas N, 2016, NEUROLOGIA, V31, P231, DOI 10.1016/j.nrl.2015.05.002; Schoenberg MR, 2008, STEREOT FUNCT NEUROS, V86, P337, DOI 10.1159/000163554; Siegert RJ, 2008, NEUROPSYCHOLOGY, V22, P450, DOI 10.1037/0894-4105.22.4.450; Stoessl AJ, 2011, NEUROTHERAPEUTICS, V8, P72, DOI 10.1007/s13311-010-0007-z; Troster AI, 2017, ARCH CLIN NEUROPSYCH, V32, P810, DOI 10.1093/arclin/acx090; Walker AJ, 2009, J INT NEUROPSYCH SOC, V15, P938, DOI 10.1017/S1355617709990610; Wu B, 2014, NEUROSCI BULL, V30, P153, DOI 10.1007/s12264-013-1389-9; Xie CL, 2016, SCI REP-UK, V6, DOI 10.1038/srep25285; Xu H, 2017, J INT MED RES, V45, P1602, DOI 10.1177/0300060517708102; Zangaglia R, 2009, MOVEMENT DISORD, V24, P1621, DOI 10.1002/mds.22603; Zhang JH, 2021, CLIN NEUROL NEUROSUR, V201, DOI 10.1016/j.clineuro.2020.106450</t>
  </si>
  <si>
    <t>UNIV CES</t>
  </si>
  <si>
    <t>CALLE 10 A, NO 22, MEDELLIN, 00000, COLOMBIA</t>
  </si>
  <si>
    <t>2011-3080</t>
  </si>
  <si>
    <t>REV CES PSICOL</t>
  </si>
  <si>
    <t>Rev. CES Psicol.</t>
  </si>
  <si>
    <t>10.21615/cesp.5896</t>
  </si>
  <si>
    <t>1Q5DO</t>
  </si>
  <si>
    <t>WOS:000802708000001</t>
  </si>
  <si>
    <t>Santamaria, JAF; Espitia, ACS</t>
  </si>
  <si>
    <t>Fajardo Santamaria, Jesus Armando; Santana Espitia, Ana Cristina</t>
  </si>
  <si>
    <t>the intersubjective affective background in the acquisition of knowledge and trust as an epistemic attitude</t>
  </si>
  <si>
    <t>epistemic emotions; confidence; enculturation; situated cognition; education</t>
  </si>
  <si>
    <t>EMOTIONS; COGNITION; PSYCHOLOGY; LANGUAGE; CULTURE; MIND</t>
  </si>
  <si>
    <t>Among the wide variety of experiences linked to academic work, there are some intense affective experiences that are more directly related to the conceptual development that the learners will achieve because they are intrinsically linked to the activity displayed during the acquisition of knowledge, such is the case of curiosity, confusion and surprise. These epistemic emotions that occur during learning activities are aimed at the conceptual content of the individual's beliefs. The objective of this work is to theoretically explore the idea that the conceptual development that occurs in educational contexts depends on the development of an affective tendency with an intersubjective base that serves as a background to the advent of epistemic emotions in social learning situations. The confidence with which a learning situation is faced is a general tendency (an epistemic attitude) fruit of the individual's trajectory that functions as a background for the activities in which knowledge is acquired. An adequate understanding of the relationships between epistemic emotions, confidence and knowledge can generate ideas that promote the consolidation of this attitude as a facet of learning in school. As pedagogical implications of this conceptual model, some common epistemic emotional patterns are presented in asymmetrical relationships between teachers and children.</t>
  </si>
  <si>
    <t>[Fajardo Santamaria, Jesus Armando] Fdn Ctr Int Educ &amp; Desarrollo Humano, Manizales, Colombia; [Santana Espitia, Ana Cristina] Univ Pedag &amp; Tecnol Colombia, Tunja, Colombia</t>
  </si>
  <si>
    <t>Santamaria, JAF (corresponding author), Fdn Ctr Int Educ &amp; Desarrollo Humano, Manizales, Colombia.</t>
  </si>
  <si>
    <t>thalmut.phd@gmail.com; ana.santana@uptc.edu.co</t>
  </si>
  <si>
    <t>Antognazza D, 2015, PROCEEDINGS OF THE NINTH CONFERENCE OF THE EUROPEAN SOCIETY FOR RESEARCH IN MATHEMATICS EDUCATION (CERME9), P1116; Arango-Munoz S, 2014, PHILOS PSYCHOL, V27, P193, DOI 10.1080/09515089.2012.732002; Armstrong J, 2016, INQUIRY, V59, P80, DOI 10.1080/0020174X.2015.1115270; BARAB SA, 2004, HDB RES ED COMMUNICA, P199; Barrett L., 2018, OXFORD HDB 4E COGNIT, V1, DOI [10.1093/oxfordhb/9780198735410.013.38, DOI 10.1093/OXFORDHB/9780198735410.013.38]; Bathgate M, 2017, INT J SCI EDUC, V39, P2402, DOI 10.1080/09500693.2017.1386807; Bruineberg J, 2021, SYNTHESE, V199, P12819, DOI 10.1007/s11229-021-03355-6; Carruthers P, 2017, PHILOS PSYCHOL, V30, P58, DOI 10.1080/09515089.2016.1262536; Colomeischi AA, 2015, PROCD SOC BEHV, V180, P744, DOI 10.1016/j.sbspro.2015.02.192; D'Errico F, 2018, INT J EMOT EDUC, V10, P89; D'Mello SK, 2014, EDUC PSYCHOL HANDB, P289; Davidson D., 1982, SUBJECTIVE INTERSUBJ, P95, DOI DOI 10.1093/0198237537.003.0007; Davidson D., 2001, SUBJECTIVE INTERSUBJ, DOI [10.1093/0198237537.001.0001, DOI 10.1093/0198237537.001.0001]; Di Leo I, 2020, CONTEMP EDUC PSYCHOL, V62, DOI 10.1016/j.cedpsych.2020.101879; Dombroski K, 2018, EMOT SPACE SOC, V26, P72, DOI 10.1016/j.emospa.2017.09.004; Duica William, 2017, Diánoia, V62, P27; Fajardo Santamaria Jesus Armando, 2019, ACTA LATINOAMERICANA, V32, P65; Fajardo Santamaria Jesus Armando, 2018, DAIMON, V75, P87, DOI [10.6018/daimon/327261, DOI 10.6018/DAIMON/327261]; Fusaroli R, 2014, COGN SYST RES, V29-30, P31, DOI 10.1016/j.cogsys.2013.06.002; Gallagher S, 2017, CONNECT SCI, V29, P106, DOI 10.1080/09540091.2016.1272098; Heft H, 2013, J ENVIRON PSYCHOL, V33, P14, DOI 10.1016/j.jenvp.2012.09.002; Hufendiek R, 2017, SYNTHESE, V194, P4455, DOI 10.1007/s11229-016-1144-7; Jones D, 2017, GEOGR ANN B, V99, P156, DOI 10.1080/04353684.2017.1306971; Krueger J, 2011, CONSCIOUS COGN, V20, P643, DOI 10.1016/j.concog.2010.09.022; Lebois LAM, 2020, NEUROPSYCHOLOGIA, V145, DOI 10.1016/j.neuropsychologia.2018.01.008; Lopez-Silva P, 2020, AV PSICOL LATINOAM, V38, DOI 10.12804/revistas.urosario.edu.co/apl/a.7475; Markey A, 2014, EDUC PSYCHOL HANDB, P228; McDowell John, 2003, MENTE MUNDO; Mesquita B, 2017, EUR REV SOC PSYCHOL, V28, P95, DOI 10.1080/10463283.2017.1329107; Muis KR, 2015, CONTEMP EDUC PSYCHOL, V42, P172, DOI 10.1016/j.cedpsych.2015.06.003; Okuyama FY, 2013, J LOGIC COMPUT, V23, P397, DOI 10.1093/logcom/exr029; Pekrun R, 2014, EDUC PSYCHOL HANDB, P1; Peralta Nadia Soledad, 2012, Interdisciplinaria, V29, P271; Rietveld E., 2018, OXFORD HDB 4E COGNIT, P41, DOI DOI 10.1093/OXFORDHB/9780198735410.013.3; Rietveld E, 2014, ECOL PSYCHOL, V26, P325, DOI 10.1080/10407413.2014.958035; Rietveld E, 2008, MIND, V117, P973, DOI 10.1093/mind/fzn050; Roschelle J, 1998, J LEARN SCI, V7, P241, DOI 10.1207/s15327809jls0702_5; Santana Espitia A. C., 2018, REV LATINOAMA ETNOMA, V11, P98; Segundo-Ortin Miguel, 2022, MEDIATION ACCESS NEW, P91; Shuman V, 2014, EDUC PSYCHOL HANDB, P13; Szokolszky A, 2018, ECOL PSYCHOL, V30, P6, DOI 10.1080/10407413.2018.1410409; Uskul AK, 2019, EUR REV SOC PSYCHOL, V30, P39, DOI 10.1080/10463283.2018.1542903; Vogl E, 2019, FRONT PSYCHOL, V9, DOI 10.3389/fpsyg.2019.02474; Zagzebski L, 2019, ROUTLEDGE HBK PHILOS, P26</t>
  </si>
  <si>
    <t>10.12957/childphilo.2022.61200</t>
  </si>
  <si>
    <t>8Y6EK</t>
  </si>
  <si>
    <t>WOS:000932788100001</t>
  </si>
  <si>
    <t>Sierra, NR; Rodriguez, ES; Montanez, RAC; Algarra, AJC; Hernandez-Zambrano, SM</t>
  </si>
  <si>
    <t>Rodriguez Sierra, Nathalia; Sanchez Rodriguez, Evelyn; Castiblanco Montanez, Ruth Alexandra; Carrillo Algarra, Ana Julia; Milena Hernandez-Zambrano, Sandra</t>
  </si>
  <si>
    <t>Prevention interventions of alcohol consumption in young university students</t>
  </si>
  <si>
    <t>University students; Alcohol Drinking; Primary Prevention; Health Education</t>
  </si>
  <si>
    <t>HEALTH</t>
  </si>
  <si>
    <t>Introduction: Individual and cultural aspects condition alcohol intake.Objective: To identify the effect of interventions conducted in Latin America on consumption patterns or associated risk factors for alcohol consumption among young university students.Materials and Methods: Systematic review based on a PICO question. A literature search was conducted from April to August 2020 in PubMed, CUIDEN, BVS, Scielo, Google Scholar, and Governmental Repositories. DeCS and MeSH descriptors in Spanish, English, and Portuguese were used with Boolean operators AND and OR. Eligibility criteria included experimental and quasi-experimental studies published between 2014 and 2020. Forty-nine articles were identified, and critical reading allowed the selection of 8 articles to which the AMSTAR2, TREND, and CONSORT appraisal tools were used, leaving 6 articles for analysis. In accordance with Article 10 of Resolution 008430/93, this was considered risk-free research.Results: Single-component interventions reported effects on behavioral beliefs, attitudes, knowledge of the substance, academic performance, lower frequency of drinking, and not driving under the influence of alcohol. Multicomponent interventions reduced consumption risk by 3.03% and reported positive perceptions regarding the usefulness of activities, expectations fulfillment, overall satisfaction, quality of materials used, attendance, and punctuality.Discussion: The studies suggest implementing new interventions, strategies and policies in primary health to promote a social, educational and health transformation that generate a favorable impact to mitigate the current problem of alcohol consumption in university students.Conclusions: This systematic review made it possible to synthesize and evaluate the available evidence on single-and multicomponent interventions in Latin America and the Caribbean that positively modify risk factors and consumption patterns in young university students.</t>
  </si>
  <si>
    <t>[Rodriguez Sierra, Nathalia; Sanchez Rodriguez, Evelyn] Univ Pedag &amp; Tecnol Colombia, Tunja, Colombia; [Castiblanco Montanez, Ruth Alexandra; Carrillo Algarra, Ana Julia; Milena Hernandez-Zambrano, Sandra] Fdn Univ Ciencias Salud FUCS Bogota, Bogota, Colombia</t>
  </si>
  <si>
    <t>Hernandez-Zambrano, SM (corresponding author), Fdn Univ Ciencias Salud FUCS Bogota, Bogota, Colombia.</t>
  </si>
  <si>
    <t>nathalia.rodriguez01@uptc.edu.co; evelyn.sanchez@uptc.edu.co; racastiblanco@fucsalud.edu.co; ajcarrillo@fucsalud.edu.co; smhernandez3@fucsalud.edu.co</t>
  </si>
  <si>
    <t>Alban Obando JJ., 2017, EFICACIA PROGRAMA PR, P1; Almeida Nemésio Dario, 2014, Psicol. cienc. prof., V34, P715, DOI 10.1590/1982-3703000632013; Alonso-CastilloMM, 2018, U AUTONOMA AGUASCALI, V26, P66; Amezcua Manuel, 2015, Index Enferm, V24, P25; Bedendo A, 2018, REV PANAM SALUD PUBL, V42, P54, DOI [10.26633/RPSP.2018.54, DOI 10.26633/RPSP.2018.54]; Betancourth-Zambrano Sonia, 2017, Univ. Salud, V19, P37, DOI 10.22267/rus.171901.67; Cabrera Rodriguez D, 2016, JORNADA CIENT FICA S; Colbos-Carbo A, 2005, MED CLIN-BARCELONA, V125, P21, DOI 10.1016/S0025-7753(05)72205-3; Conde Karina, 2016, Rev. chil. neuro-psiquiatr., V54, P84; Guimaraes BED, 2020, CAD SAUDE PUBLICA, V36, DOI [10.1590/0102-311X044919, 10.1590/0102-311x044919]; Rodriguez MAF, 2019, ADICCIONES, V31, P260, DOI 10.20882/adicciones.1003; Gilligan C, 2019, COCHRANE DB SYST REV, DOI 10.1002/14651858.CD012287.pub2; Gonzalez Angulo P, 2019, ENFERMER A GLOB, V18, P398, DOI DOI 10.6018/EGLOBAL.18.4.351381; Ahumada-Cortez JG, 2017, REV RA XIMHAI, V13, P13; Heredia Luz Patrícia Diaz, 2017, Texto contexto - enferm., V26, pe6860015, DOI 10.1590/0104-07072017006860015; Hernandez-Zambrano SM, 2018, ENFERMERIA COMUNITAR, V14; Hernandez-Zambrano SM., 2022, MENDELEY DATA, DOI [10.17632/59m69xdx2r.1, DOI 10.17632/59M69XDX2R.1]; Hutton A, 2020, Compr Child Adoles N, V43, P171, DOI 10.1080/24694193.2019.1616008; Instituto de Politicas Publicas en Salud, 2018, OMS CONS ALC HOMBR C; JBI Levels of Evidence, 2013, DEV JOANN BRIGGS I L, P1; Jiloha RC, 2017, INDIAN J PSYCHIAT, V59, P111, DOI 10.4103/0019-5545.204444; Kaner Eileen Fs, 2018, Cochrane Database Syst Rev, V2, pCD004148, DOI 10.1002/14651858.CD004148.pub4; MacArthur G, 2018, COCHRANE DB SYST REV, DOI 10.1002/14651858.CD009927.pub2; Meneses Karla, 2019, Rev. Cienc. Salud, V17, P293, DOI 10.12804/revistas.urosario.edu.co/revsalud/a.7938; Ministerio de Justicia y del Derecho-Observatorio de Drogas de Colombia, 2016, EST NAC CONS SUST PS; Mora Cesar Augusto, 2019, rev.fac.med., V67, P225, DOI 10.15446/revfacmed.v67n2.69282; Mori-Gamarra F, 2020, GAC SANIT, V34, P15, DOI 10.1016/j.gaceta.2018.09.005; MUÑOZ ORTEGA MARÍA LILIANA, 2014, Psicogente, V17, P365; Nieto I, 2016, METAS ENFERM, V19, P6; Orcasita Linda Teresa, 2018, Psicol. caribe, V35, P33; Organizacion Panamericana de la Salud, 2019, IND SAL ASP CONC OP, P1; Organizacion Panamericana de la Salud Organizacion Mundial de la Salud, 2016, PLAN ACC RED CONS NO; Palacio P. A. S., 2018, PSICOESPACIOS REV VI, V12, P173, DOI DOI:https://; Pizarro AB, 2021, COLOMBIAN J ANESTHES, V49, P913, DOI [10.5554/22562087.e913, DOI 10.5554/22562087.E913]; Ponce Guerra César Eduardo, 2018, Rev Eug Esp, V12, P42, DOI 10.37135/ee.004.05.05; Pons Javier, 2011, Psychosocial Intervention, V20, P75, DOI 10.5093/in2011v20n1a7; Republica de Colombia. Ministerio de Salud, 1993, RES NUM 8430 1993 MI; Rimet Alves de Almeida Hélen, 2018, Enferm. glob., V17, P529, DOI 10.6018/eglobal.17.3.299691; Munoz PMR, 2019, ADICCIONES, V31, P274, DOI 10.20882/adicciones.1035; Rojas Collado MJ, 2018, METAS ENFERM, V21, P10, DOI [10.35667/MetasEnf.2019.21.1003081241, DOI 10.35667/METASENF.2019.21.1003081241]; Salazar Mendoza J., 2014, INTERVENCION ENFERME, P1; Sarasa-Renedo A, 2014, REV ESP SALUD PUBLIC, V88, P469, DOI 10.4321/S1135-57272014000400004; Silva B. P. da, 2014, SMAD. Revista Eletronica Saude Mental Alcool e Drogas, V10, P93, DOI 10.11606/issn.1806-6976.v10i2p93-100; Silva TS, 2019, CIENC SAUDE COLETIVA, V24, P3495, DOI 10.1590/1413-81232018249.23952017; Stead M, 2017, BMC PUBLIC HEALTH, V17, DOI 10.1186/s12889-017-4256-1; Telumbre Terrero JY, 2018, J HLTH NPEPS, V3, P38, DOI [10.30681/252610102758, DOI 10.30681/252610102758]; Vallve C, 2005, MED CLIN-BARCELONA, V125, P38, DOI 10.1016/S0025-7753(05)72208-9; Vazquez N, 2018, REV ESP SALUD PUBLIC, V92; Villaquiran Andrés-Felipe, 2020, Rev. Univ. Ind. Santander. Salud, V52, P111, DOI 10.18273/revsal.v52n2-2020005; Yanez-Castillo BG, 2018, J HLTH NPEPS, V3, P5</t>
  </si>
  <si>
    <t>e2388</t>
  </si>
  <si>
    <t>10.15649/cuidarte.2388</t>
  </si>
  <si>
    <t>WOS:000862979100008</t>
  </si>
  <si>
    <t>Juvinao, DDL; Camacho, FOM; Bertiz, CAS</t>
  </si>
  <si>
    <t>Lopez Juvinao, Danny Daniel; Moya Camacho, Fabio Orlando; Socarras Bertiz, Carlos Alberto</t>
  </si>
  <si>
    <t>ENVIRONMENTAL STRATEGIES FOR CONTROLLING THE IMPACTS OF CLAY MINING IN LA GUAJIRA, COLOMBIA</t>
  </si>
  <si>
    <t>INTERCIENCIA</t>
  </si>
  <si>
    <t>Currently in the Guajira territory, the exploitation of natural resources has brought degradation in ecosystems. The objective of this research is to propose strategies to control the environmental impacts generated by clay mining in La Guajira, Colombia. A non-experimental descriptive explanatory approach is used. The evaluated population consisted of 15 workers from 4 productive clay mining companies. The collection of information was carried out by applying an instrument consisting of 2 dimensions and 8 indicators, complemented by field visits. It was obtained as a result that the main environmental problems are related to soil degradation, landscape transformation and the emission of particulate matter. It is concluded that companies should focus their efforts on the application of environmental strategies, this contributes to sustainable development.</t>
  </si>
  <si>
    <t>[Lopez Juvinao, Danny Daniel] Univ Pedag &amp; Tecnol Colombia, Boyaca, Colombia; [Lopez Juvinao, Danny Daniel] Univ La Guajira, Fac Ingn, Grp Invest Ipaitug, Km 5 Salida Maicao, Riohacha, Colombia; [Moya Camacho, Fabio Orlando] Fdn Univ Norte, Barranquilla, Colombia; [Moya Camacho, Fabio Orlando; Socarras Bertiz, Carlos Alberto] Univ La Guajira, Riohacha, Colombia</t>
  </si>
  <si>
    <t>Universidad Pedagogica y Tecnologica de Colombia (UPTC); Universidad del Norte Colombia</t>
  </si>
  <si>
    <t>Juvinao, DDL (corresponding author), Univ Pedag &amp; Tecnol Colombia, Boyaca, Colombia.;Juvinao, DDL (corresponding author), Univ La Guajira, Fac Ingn, Grp Invest Ipaitug, Km 5 Salida Maicao, Riohacha, Colombia.</t>
  </si>
  <si>
    <t>dlopezj@uniguajira.edu.co; fmoya@uniguajira.edu.co; csocarras@uniguajira.edu.co</t>
  </si>
  <si>
    <t>Agencia Nacional de Mineria, 2017, OBT AG NAC MIN; Cruz-Hernandez Y, 2018, ENVIRON POLLUT, V237, P154, DOI 10.1016/j.envpol.2018.02.031; Doherty TJ, 2011, AM PSYCHOL, V66, P265, DOI 10.1037/a0023141; Florez-Vargas Anderson Oswaldo, 2018, Revista EIA, V15, P133, DOI 10.24050/reia.v15i30.1219; Garcia R, 2021, SCI TECHNICA, V26, P308; Garzon Tovar N, 2013, THESIS PONTIFICIA U; Gavin MC, 2010, CONSERV BIOL, V24, P89, DOI 10.1111/j.1523-1739.2009.01387.x; Herrera TF, 2011, REV VIRTUAL UNIV CAT, V34, P314; Jarde A, 2012, AN PSICOL-SPAIN, V28, P617, DOI 10.6018/analesps.28.2.148911; Kosugi T, 2009, ENERG POLICY, V37, P2664, DOI 10.1016/j.enpol.2009.02.039; Laurila-Pant M, 2015, ECOL INDIC, V55, P1, DOI 10.1016/j.ecolind.2015.02.034; Le Quere C, 2020, NAT CLIM CHANGE, V10, P647, DOI 10.1038/s41558-020-0797-x; Lopez D, 2010, MUCHO MAS QUE CARBON; Lopez D, 2017, REV AGUNKUYAA, V2, P76; Ma K, 2019, INT J ENV RES PUB HE, V16, DOI 10.3390/ijerph16203929; Ministerio de Ambiente Vivienda y Desarrollo Territorial, 2021, EST VERS INC MOD INT; Ministerio de Ambiente Vivienda y Desarrollo Territorial, 2016, PLAN NAC REST EC REH; Opoku A, 2016, RESEARCH METHODOLOGY IN THE BUILT ENVIRONMENT: A SELECTION OF CASE STUDIES, P32; Orgaz Martín, 2020, Estud. atacam., P35, DOI 10.22199/issn.0718-1043-2020-0046; Perotti R, 2015, GOVERNANCE STRATEGIC; Raymond CM, 2010, J ENVIRON MANAGE, V91, P1766, DOI 10.1016/j.jenvman.2010.03.023; Rojas Néstor Y., 2004, rev.ing., P58; Vanhulst J, 2016, ENVIRON DEV, V20, P68, DOI 10.1016/j.envdev.2016.10.005; Vargas LF, 2014, OPERA, V7, P107, DOI 10.2/JQUERY.MIN.JS; Villa Posada Viviana, 2012, Bol. cienc. tierra, P97</t>
  </si>
  <si>
    <t>CARACAS</t>
  </si>
  <si>
    <t>APARTADO 51842, CARACAS 1050A, VENEZUELA</t>
  </si>
  <si>
    <t>0378-1844</t>
  </si>
  <si>
    <t>Interciencia</t>
  </si>
  <si>
    <t>F7PN2</t>
  </si>
  <si>
    <t>WOS:000984228400004</t>
  </si>
  <si>
    <t>Lazcano, LM; Gonzalez-Chorda, VM; Manrique-Abril, FG; Cervera-Gasch, A; Mena-Tudela, D; Andreu-Pejo, L; Valero-Chilleron, MJ</t>
  </si>
  <si>
    <t>Moran Lazcano, Lucia; Gonzalez-Chorda, Victor M.; Gustavo Manrique-Abril, Fred; Cervera-Gasch, Agueda; Mena-Tudela, Desiree; Andreu-Pejo, Laura; Jesus Valero-Chilleron, Maria</t>
  </si>
  <si>
    <t>Characteristics and determinants of the academic goals in nursing education: A cross-sectional study</t>
  </si>
  <si>
    <t>NURSE EDUCATION TODAY</t>
  </si>
  <si>
    <t>Nursing students; Motivation; Academic goal; Orientation; Academic performance</t>
  </si>
  <si>
    <t>ACHIEVEMENT GOALS; CRITICAL THINKING; ORIENTATION; STUDENTS</t>
  </si>
  <si>
    <t>Background: Academic goals guide the learning mode of nursing students, focus their objectives and influence the acquisition of skills. However, research on academic goals and related variables is scarce. Objective: To study the relationship between different sociodemographic and academic variables with the type of academic goal in nursing students at the Universitat Jaume I (Spain). Design: Cross-sectional study conducted between September 2020 and June 2021. Settings and participants: Undergraduate nursing students at Universitat Jaume I (n = 263). Methods: The Academic Goal Orientation questionnaire was administered. In addition, the variables age, gender, route to university, previous health studies, previous training in critical thinking, degree year and average grade on academic record were collected. A descriptive analysis of the sample and an analysis of the association between variables were performed. In addition, exploratory multinomial logistic regression was performed. Results: The nursing students preferred the Learning Goal (95.8%; n = 263), and this increased among the students as their average grade increased. The results of the multivariate analysis indicated that students with a lower average grade, those from advanced years and those without previous training in critical thinking preferred the Work Avoidance and Self-defeating Ego Goals. Conclusion: The preferred goal among the students was learning. The variables that influenced the type of goal were year, average grade and previous training in critical thinking.</t>
  </si>
  <si>
    <t>[Moran Lazcano, Lucia; Gonzalez-Chorda, Victor M.; Cervera-Gasch, Agueda; Mena-Tudela, Desiree; Andreu-Pejo, Laura; Jesus Valero-Chilleron, Maria] Univ Jaume 1, Nursing Dept, Avda Sos Baynat S-N, Castellon de La Plana 12071, Spain; [Gustavo Manrique-Abril, Fred] Univ Nacl Colombia, Nursing Dept, Carretera 45, Bogota, Colombia; [Gustavo Manrique-Abril, Fred] Univ Pedag &amp; Tecnol Colombia, Publ Hlth Grp, Tunja, Colombia</t>
  </si>
  <si>
    <t>Universitat Jaume I; Universidad Nacional de Colombia; Universidad Pedagogica y Tecnologica de Colombia (UPTC)</t>
  </si>
  <si>
    <t>Gonzalez-Chorda, VM (corresponding author), Univ Jaume 1, Nursing Dept, Avda Sos Baynat S-N, Castellon de La Plana 12071, Spain.</t>
  </si>
  <si>
    <t>al374010@uji.es; vchorda@uji.es; fgmanriquea@unal.edu.co; cerveraa@uji.es; dmena@uji.es; pejo@uji.es; chillero@uji.es</t>
  </si>
  <si>
    <t>Tudela, Desirée Mena/K-5487-2018; Gonzalez-Chorda, Victor M./T-7358-2019</t>
  </si>
  <si>
    <t>Tudela, Desirée Mena/0000-0003-1596-3064; Gonzalez-Chorda, Victor M./0000-0001-7426-6686</t>
  </si>
  <si>
    <t>Agresti A, 2013, CATEGORICAL DATA ANA, DOI DOI 10.1002/0471249688; Barkur Rajashekar Rao, 2013, Educ Health (Abingdon), V26, P98, DOI 10.4103/1357-6283.120701; Cervera-Gasch A, 2018, NURS EDUC TODAY, V65, P162, DOI 10.1016/j.nedt.2018.03.016; Deemer ED, 2010, J CAREER ASSESSMENT, V18, P376, DOI 10.1177/1069072710374575; Dunn KE, 2014, J NURS EDUC, V53, P93, DOI 10.3928/01484834-20140122-02; Elliot AJ, 2001, J PERS SOC PSYCHOL, V80, P501, DOI 10.1037//0022-3514.80.3.501; Filiz N Y, 2018, Curr Health Sci J, V44, P176, DOI 10.12865/CHSJ.44.02.14; Manrique-Abril FG, 2020, NURS EDUC TODAY, V84, DOI 10.1016/j.nedt.2019.104226; Valero-Chilleron MJ, 2019, NURS EDUC TODAY, V76, P38, DOI 10.1016/j.nedt.2019.01.014; Khalifa M.E., 2016, INT J HUMANIT SOC SC, V6, P121; KIM EY, 2016, INFORMATION, V19, P4557; Lee JQ, 2010, CONTEMP EDUC PSYCHOL, V35, P264, DOI 10.1016/j.cedpsych.2010.04.004; March Alice L, 2015, Int J Nurs Educ Scholarsh, V12, P123, DOI 10.1515/ijnes-2014-0075; Martyn J, 2014, NURS EDUC TODAY, V34, P829, DOI 10.1016/j.nedt.2013.04.023; Miller VN, 2016, NURS FORUM, V51, P164, DOI 10.1111/nuf.12134; Mooring QE, 2016, NURS EDUC TODAY, V40, P204, DOI 10.1016/j.nedt.2016.03.003; Navea Martin A., 2012, PSICOL EDUC, V18, P83; Nulty DD, 2008, ASSESS EVAL HIGH EDU, V33, P301, DOI 10.1080/02602930701293231; Palos R, 2020, EDUC STUD-UK, V46, P205, DOI 10.1080/03055698.2018.1555454; Pekrun R, 2006, J EDUC PSYCHOL, V98, P583, DOI 10.1037/0022-0663.98.3.583; Poondej C, 2013, J FURTH HIGH EDUC, V37, P504, DOI 10.1080/0309877X.2011.645463; Senko C, 2013, LEARN INDIVID DIFFER, V24, P1, DOI 10.1016/j.lindif.2012.11.003; Shakurnia A., 2018, STRIDES DEV MED ED, V15, pe85046; Skaalvik EM, 1997, J EDUC PSYCHOL, V89, P71, DOI 10.1037/0022-0663.89.1.71; Sparfeldt JR, 2015, LEARN INDIVID DIFFER, V43, P170, DOI 10.1016/j.lindif.2015.08.022; World Health Organization, 2020, STAT WORLDS NURS REP; Zong XL, 2018, EDUC STUD-UK, V44, P341, DOI 10.1080/03055698.2017.1373634</t>
  </si>
  <si>
    <t>CHURCHILL LIVINGSTONE</t>
  </si>
  <si>
    <t>EDINBURGH</t>
  </si>
  <si>
    <t>JOURNAL PRODUCTION DEPT, ROBERT STEVENSON HOUSE, 1-3 BAXTERS PLACE, LEITH WALK, EDINBURGH EH1 3AF, MIDLOTHIAN, SCOTLAND</t>
  </si>
  <si>
    <t>0260-6917</t>
  </si>
  <si>
    <t>1532-2793</t>
  </si>
  <si>
    <t>NURS EDUC TODAY</t>
  </si>
  <si>
    <t>Nurse Educ. Today</t>
  </si>
  <si>
    <t>10.1016/j.nedt.2022.105402</t>
  </si>
  <si>
    <t>Education, Scientific Disciplines; Nursing</t>
  </si>
  <si>
    <t>Education &amp; Educational Research; Nursing</t>
  </si>
  <si>
    <t>1N6DX</t>
  </si>
  <si>
    <t>hybrid, Green Published</t>
  </si>
  <si>
    <t>WOS:000800745100010</t>
  </si>
  <si>
    <t>Lara, ANM; Vega, VRV</t>
  </si>
  <si>
    <t>Lara, Alba Nithza Maldonado; Vega, V. Reina Victoria</t>
  </si>
  <si>
    <t>BORDER MIGRATIONS: THE CASE OF THE CUCUTA-URENA PASS ON THE COLOMBO-VENEZUELAN BORDER (1990-2020)</t>
  </si>
  <si>
    <t>REVISTA DE CIENCIAS SOCIALES-COSTA RICA</t>
  </si>
  <si>
    <t>MIGRATION; BORDER; COLOMBIA; VENEZUELA; CASE STUDY</t>
  </si>
  <si>
    <t>In this article we address, from a comprehensive perspective, the socio-territorial dynamics that emerged between 1990 and 2020, in the border crossing between Cucuta (Colombia) and Urena (Venezuela), based on the behavior analysis of the migratory flow that runs through this crossing. The methodology used is that of the case study and the sources are qualitative. The information gathered allows us to consider that, during the period studied, social conflict increased in this border crossing, due to the dispute for the control and appropriation of the border zone by illegal actors, interested in making the intensification of migratory flows in the direction of both countries profitable, due to the political instability that has marked the recent history of both sides of the border, during the period studied.</t>
  </si>
  <si>
    <t>[Lara, Alba Nithza Maldonado] Secretari Educ Cundinamarca, Gama, Cundinamarca, Colombia; [Vega, V. Reina Victoria] Ctr Histoire Montreal, Montreal, PQ, Canada; [Vega, V. Reina Victoria] Univ Pedag &amp; Tecnol Colombia, Escuela Postgrad Geog EPG, Inst Geog Agustin Codazzi UPTC IGAC, Boyaca, Colombia</t>
  </si>
  <si>
    <t>Lara, ANM (corresponding author), Secretari Educ Cundinamarca, Gama, Cundinamarca, Colombia.</t>
  </si>
  <si>
    <t>albanml03@gmail.com; reinavg354@gmail.com</t>
  </si>
  <si>
    <t>ALVAREZ R., 2004, GEOENSENANZA, V9, P191; Arriaga Rodriguez J. C, 2012, PERSPECTIVA GEOGRAFI, V17, P71; Avila K., 2018, NUEVA SOC; Banko Catalina, 2016, Tiempo y Espacio, V26, P63; Bologna E., 2016, ESTUD DEMOGR URBANOS; Castrillon J. A., 2019, OPERA; Centro Nacional de Memoria Historica (CNMH), 2014, CRUZANDO FRONTERA ME; Fawceit L., 1998, B CULTURAL BIBLIO, V35, P3; Garcia A., 2016, SIEMPRE ESPINOSAS RE; Gonzalez Ruiz M., MIGRACIONES TEOR A S; Harvey D, 1973, SOCIAL JUSTICE CITY; Hauser K., 2009, CONTRIBUCIONES ARABE; Hollweck T, 2015, CAN J PROGRAM EVAL, V30, P108, DOI 10.3138/cjpe.30.1.108; Humanez E., 2016, VENEZUELA CHAVISMO V; Humanez E., 2012, LIMMIGRATION COLOMBI; Igirio Gamero K. I., 2008, LEGADO INMIGRANTES A; Iglesias E. V., 2009, CONTRIBUCIONES ARABE, P11; LEFEBVRE H, 1974, HOMME SOC, P13, DOI 10.3406/homso.1974.1855; Martinez Carazo P. C., 2011, REV CIENTIFICA PENSA; Migracion Colombia, 2020, INFORME REGISTRO ADM; Murillo-Pedrozo Andrés M, 2019, Rev. perú. med. exp. salud publica, V36, P692, DOI 10.17843/rpmesp.2019.364.4908; Nicolao J., 2011, MIGRACIONES INTRARRE; Observatorio de Juventudes de Venezuela y Observatorio de la Diaspora Venezolana, 2020, MIGRACION REFUGIO 20; Organizacion Internacional del Trabajo (OIT), MIGRACION LABORAL AM; Organizacion Internacional para las Migraciones (OIM), 2019, GLOSARIO OIM MIGRACI; Osorio-Campillo Henry, 2015, Bitácora Urbano Territorial, V25, P113, DOI 10.15446/bitacora.v1n25.47498; Pedraza N., 2005, GENERO DESPLAZAMIENT; Pellegrino A., 2003, SERIE POBLACION DESA; Polo S., 2018, REVISTAS; Portal de Datos Mundiales sobre la Migracion, 2021, DATOS MIGRATORIOS AM; Portal Grupo de Trabajo CLACSO Migracion Sur-Sur, 2021, TRABAJO MIGRACION; Portal InSight Crime, 2019, PORTAL INSIGHT CRIME; Ramirez-Sanchez M., 2019, REV ESPACIOS, V40, P1; Rhenals A. M., 2013, IDEAL EUROPEO REALID; Santos M., 1978, GEOGRAFIA NOVA; Sociedad Geografica de Colombia, 1998, B GEOGRAF A, V42; TORREALBA Ricardo, 1983, ESTUD DEMOGR URBANOS, V17, P367; Torres M., 2012, SOCIOLOGICA MEX, V27; Valero M., 2020, NUEVA SOC, V289; Vega R. V., 2019, LACTION COMMUNAUTAIR; Wehr I., 2006, CONTINENTE MOVIMIENT, P9</t>
  </si>
  <si>
    <t>UNIV COSTA RICA, FAC SOCIAL SCIENCES</t>
  </si>
  <si>
    <t>CITY RESEARCH, SAN JOSE, 00000, COSTA RICA</t>
  </si>
  <si>
    <t>2215-2601</t>
  </si>
  <si>
    <t>REV CIENC SOC-COSTA</t>
  </si>
  <si>
    <t>Rev. Cienc. Soc.-Costa Rica</t>
  </si>
  <si>
    <t>5Z7AQ</t>
  </si>
  <si>
    <t>WOS:000880122100011</t>
  </si>
  <si>
    <t>Carvajal, JEV; Montana, JPG; Sandoval, EHP; Merchan, PJA; Solano, LMA</t>
  </si>
  <si>
    <t>Carvajal, Jorge Enrique Villamil; Montana, Johanna Paola Garnica; Sandoval, Elberth Hernando Pinzon; Merchan, Pedro Jose Almanza; Solano, Liliana Margarita Atencio</t>
  </si>
  <si>
    <t>Macronutrient omission influences morphological parameters, growth, and yield in Arracacia xanthorrhiza Bancroft</t>
  </si>
  <si>
    <t>Essentiality; Nutritional deficiencies; Biomass; Arracacha</t>
  </si>
  <si>
    <t>PLANT-GROWTH; NITROGEN; ARABIDOPSIS; DEFICIENCY; MAGNESIUM; BIOMASS; GENES; PHOTOSYNTHESIS; METABOLISM; POTASSIUM</t>
  </si>
  <si>
    <t>Mineral nutrition in arracacha is a critical production factor that conditions harvest yield. Few studies have been developed in nutrition and physiology, this does not allow to the design of ideal fertilization programs; consequences are increased production costs, soil degradation, and low-quality storage roots. Therefore, this study aimed to characterize the symptoms associated with macronutrient deficiency in arracacha plants and its effect on morphological parameters, the accumulation of fresh and dry biomass, and the distribution of dry matter in the different organs. Under greenhouse conditions, the experiment was conducted in Cajamarca, Tolima, Colombia. A completely randomized design was implemented, with seven treatments and six replicates (6 solutions lacking N, P, K, Ca, Mg, and S and Hoagland complete solution). Forty-two seedlings were transplanted, to which the complete solution was applied for 75 days, increasing the con-centrations from 0.25 M to 1 M, and then nutritional deficiencies were induced. Deficiencies caused by macronutrients in arracacha plants exhibited visual symptoms and changes in their morphology. The omission of N, Ca, and S generated the most severe symptoms, drastically affecting plant height, leaf width, number of leaves, and plant mass accumulation. In the case of P, leaves became small and intense green with a violet margin. The Mg and K generated leaves with interveinal and margin chlorosis. Plants with the omission of macronutrients allocated dry mass in the following order: stem, storage roots, propagules, and leaves.</t>
  </si>
  <si>
    <t>[Carvajal, Jorge Enrique Villamil] Univ Pedag &amp; Tecnol Colombia, Fac Ciencias Agr, Programa Maestria Ciencias Agr, Tunja, Colombia; [Carvajal, Jorge Enrique Villamil; Montana, Johanna Paola Garnica] Ctr Invest Nataima, Corp Colombiana Invest Agr Agrosavia, Tolima, Colombia; [Sandoval, Elberth Hernando Pinzon; Merchan, Pedro Jose Almanza] Univ Pedag &amp; Tecnol Colombia, Fac Ciencias Agr, Grp Invest Desarrollo &amp; Prod Agr Sostenible GIPSO, Tunja, Colombia; [Solano, Liliana Margarita Atencio] Ctr Invest Turipana, Corp Colombiana Invest Agr, Cerete, Cordoba, Colombia</t>
  </si>
  <si>
    <t>Universidad Pedagogica y Tecnologica de Colombia (UPTC); Corporacion Colombiana de Investigacion Agropecuaria, AGROSAVIA; Universidad Pedagogica y Tecnologica de Colombia (UPTC); Corporacion Colombiana de Investigacion Agropecuaria, AGROSAVIA</t>
  </si>
  <si>
    <t>Carvajal, JEV (corresponding author), Univ Pedag &amp; Tecnol Colombia, Fac Ciencias Agr, Programa Maestria Ciencias Agr, Tunja, Colombia.</t>
  </si>
  <si>
    <t>jorge.villamil@uptc.edu.co</t>
  </si>
  <si>
    <t>Villamil Carvajal, Jorge Enrique/0000-0003-0173-0921; Pinzon-Sandoval, Elberth Hernando/0000-0001-9229-3450; GARNICA MONTANA, JOHANNA PAOLA/0000-0003-3051-809X</t>
  </si>
  <si>
    <t>Afrousheh M, 2010, SCI HORTIC-AMSTERDAM, V124, P141, DOI 10.1016/j.scienta.2009.12.001; Alvarado Gaona A.E., 2010, CULTIVO ARRACACHA A; Nunes ARA, 2016, CIENC RURAL, V46, P242, DOI 10.1590/0103-8478cr20150339; AOAC , 2000, OFFICIAL METHODS ANA, V17th, DOI DOI 10.1007/978-3-642-31241-0; Azcon-Bieto JA, 2013, FUNDAMENTOS FISIOLOG; Barcelo Coll J., 1992, FISIOLOGIA VEGETAL; Barrera J., 2010, EXPT FISIOLOGIA VEGE, P79; Benedetti E. L., 2009, Floresta, V39, P335; BRAY RH, 1945, SOIL SCI, V59, P39, DOI 10.1097/00010694-194501000-00006; BUITRAGO SEBASTIÁN, 2021, rev.colomb.cienc.hortic., V15, pe13159, DOI 10.17584/rcch.2021v15i3.13159; Cabezas Marco, 2008, Agron. colomb., V26, P197; Camara Araujo F.L., 1990, SINTOMATOLOGIA CAREN, DOI [10.11606/T.11.2019.tde-20191220-120842, DOI 10.11606/T.11.2019.TDE-20191220-120842]; Carvalho R. F., 2016, Australian Journal of Crop Science, V10, P331; Chaali N, 2020, SCI HORTIC-AMSTERDAM, V272, DOI 10.1016/j.scienta.2020.109533; Chapman H.D., 1965, METHODS SOIL ANAL 2, P891, DOI [10.2134/agronmonogr9.2.c6, DOI 10.2134/AGRONMONOGR9.2.C6]; Chen HB, 2018, J PLANT NUTR, V41, P1312, DOI 10.1080/01904167.2018.1450422; Core Team R., 2013, R LANG ENV STAT COMP; de Bang TC, 2021, NEW PHYTOL, V229, P2446, DOI 10.1111/nph.17074; DUSSÁN SINDY LORENA, 2016, rev.colomb.cienc.hortic., V10, P40, DOI 10.17584/rcch.2016v10i1.4277; EPSTEIN E, 1972, P412; Falesi Bittencourt R., 2020, BRAZILIAN J DEV, V6, P83619, DOI [10.34117/bjdv6n10, DOI 10.34117/BJDV6N10]; Garnica Montana J.P., 2021, CORP COLOMB INVEST A, DOI 10.; Garnica Montana J.P., 2021, CIENCIA AGR, V18, P1, DOI [10.19053/01228420, DOI 10.19053/01228420]; Guo SW, 2007, PEDOSPHERE, V17, P601, DOI 10.1016/S1002-0160(07)60071-X; Hao XM, 2004, HORTSCIENCE, V39, P512, DOI 10.21273/HORTSCI.39.3.512; He HS, 2020, SCI HORTIC-AMSTERDAM, V268, DOI 10.1016/j.scienta.2020.109377; Hendershot W. H., 2007, SOIL SAMPLING METHOD, P197, DOI DOI 10.1201/9781420005271.CH18; Hermans C, 2005, PLANTA, V220, P541, DOI 10.1007/s00425-004-1376-5; Hermans C., 2008, DIETARY MAGNESIUM NE, P159; Hermans C, 2006, TRENDS PLANT SCI, V11, P610, DOI 10.1016/j.tplants.2006.10.007; Hoagland D.R., 1950, CALIF AES C, V347, P1, DOI DOI 10.1016/S0140-6736(00)73482-9; ICONTEC, 2011, 5404 ICONTEC NTC, P1; ICONTEC Instituto Colombiano de Normas Tecnicas y Certificacion, 2007, CAL SUEL DER MICR DI, P1; ICONTEC Instituto colombiano de Normas tecnicas y certificacion, 2016, CAL SUEL DET BAS CAM, P9; Jaimez RE, 2008, SCI HORTIC-AMSTERDAM, V118, P100, DOI 10.1016/j.scienta.2008.05.027; Kafle GG, 2017, J APPL RES MED AROMA, V7, P136, DOI 10.1016/j.jarmap.2017.08.001; Kiba T, 2016, PLANT CELL PHYSIOL, V57, P707, DOI 10.1093/pcp/pcw052; KIRKBY EA, 1967, PLANT PHYSIOL, V42, P6, DOI 10.1104/pp.42.1.6; Koch K, 2004, CURR OPIN PLANT BIOL, V7, P235, DOI 10.1016/j.pbi.2004.03.014; Kochhar S.L., 2020, PLANT PHYSL THEORY A, V2nd ed.; Lavres J, 2005, PESQUI AGROPECU BRAS, V40, P145, DOI 10.1590/S0100-204X2005000200007; MARSCHNER H., 2012, MINERAL NUTR HIGHER; Martínez Fabio Ernesto, 2008, Agron. colomb., V26, P389; Young JLM, 2018, SCI HORTIC-AMSTERDAM, V234, P318, DOI 10.1016/j.scienta.2018.02.002; Mengel K, 2001, HDB PLANT NUTR, P481, DOI [10.1007/978-94-010-1009-2_10, DOI 10.1007/978-94-010-1009-2_10]; Ministerio de Agricultura y Desarrollo Rural [Madr] Evaluaciones Agropecuarias Municipales [EVA], 2020, PORT DAT; Morillo E., 2020, CARROTS RELATED APIA, P245; Nelson D. W., 1996, Methods of soil analysis. Part 3 - chemical methods., P961; Nielsen TH, 1998, PLANT CELL ENVIRON, V21, P443, DOI 10.1046/j.1365-3040.1998.00295.x; Peng Z, 2020, PLANT CELL ENVIRON, V43, P1148, DOI 10.1111/pce.13697; Quesada-Roldán Gustavo, 2013, Terra Latinoam, V31, P1; Rincón Mayra, 2021, Rev. Fac. Nac. Agron. Medellín, V74, P9745, DOI 10.15446/rfnam.v74n3.92658; Sanchez Esteban, 2005, Revista Fitotecnia Mexicana, V28, P55; Santos EF, 2017, PLANT PHYSIOL BIOCH, V115, P249, DOI 10.1016/j.plaphy.2017.04.001; Scheible WR, 2004, PLANT PHYSIOL, V136, P2483, DOI 10.1104/pp.104.047019; Siddiqui MH, 2020, NITRIC OXIDE-BIOL CH, V94, P95, DOI 10.1016/j.niox.2019.11.002; Siddiqui MH, 2012, PROTOPLASMA, V249, P139, DOI 10.1007/s00709-011-0273-6; Sousa-Balbino J.M., 2018, CULTURA BATATA BAROA; Souza de Miranda R., 2010, REV CIENC AGRON, V41, P326, DOI [10.1590/S1806-66902010000300002, DOI 10.1590/S1806-66902010000300002]; Sturiao WP, 2020, S AFR J BOT, V132, P346, DOI 10.1016/j.sajb.2020.05.003; TAIZ L., 2017, FISIOLOGIA DESENVOLV, V6; Taiz L, 2017, FISIOLOGIA DESENVOLV, V6; Takehisa H, 2015, RICE, V8, DOI 10.1186/s12284-015-0059-0; Tranbarger TJ, 2003, PLANT CELL ENVIRON, V26, P459, DOI 10.1046/j.1365-3040.2003.00977.x; van Maarschalkerweerd M, 2015, FRONT PLANT SCI, V6, DOI 10.3389/fpls.2015.00169; Verbruggen N, 2013, PLANT SOIL, V368, P87, DOI 10.1007/s11104-013-1589-0; Wakeel A, 2010, J PLANT NUTR SOIL SC, V173, P127, DOI 10.1002/jpln.200900270; Wang YH, 2002, PLANT PHYSIOL, V130, P1361, DOI 10.1104/pp.008854; Yeh DM, 2000, SCI HORTIC-AMSTERDAM, V86, P223, DOI 10.1016/S0304-4238(00)00152-7; Zhang HM, 1998, SCIENCE, V279, P407, DOI 10.1126/science.279.5349.407; Zorb C, 2014, J PLANT PHYSIOL, V171, P656, DOI 10.1016/j.jplph.2013.08.008</t>
  </si>
  <si>
    <t>e13062</t>
  </si>
  <si>
    <t>10.1016/j.heliyon.2023.e13062</t>
  </si>
  <si>
    <t>D4MZ2</t>
  </si>
  <si>
    <t>WOS:000968501700001</t>
  </si>
  <si>
    <t>Matallana-Puerto, CA; Cardoso, JCF</t>
  </si>
  <si>
    <t>Matallana-Puerto, Carlos A.; Fernandes Cardoso, Joao Custodio</t>
  </si>
  <si>
    <t>Ratatouille of flowers! Rats as potential pollinators of a petal-rewarding plant in the urban area</t>
  </si>
  <si>
    <t>ECOLOGY</t>
  </si>
  <si>
    <t>Acca sellowiana; Myrtaceae; pollination; urban ecology</t>
  </si>
  <si>
    <t>REPRODUCTIVE SUCCESS</t>
  </si>
  <si>
    <t>[Matallana-Puerto, Carlos A.] Univ Pedag &amp; Tecnol Colombia, Fac Ciencias, Grp Invest Biol Conservac, Escuela Biol, Tunja, Colombia; [Matallana-Puerto, Carlos A.] Univ Estadual Campinas, Inst Biol Vegetal, Programa Posgrad Biol Vegetal, Campinas, Brazil; [Fernandes Cardoso, Joao Custodio] Univ Fed Alfenas, Inst Ciencias Nat, Alfenas, Brazil</t>
  </si>
  <si>
    <t>Universidad Pedagogica y Tecnologica de Colombia (UPTC); Universidade Estadual de Campinas; Universidade Federal de Alfenas</t>
  </si>
  <si>
    <t>Matallana-Puerto, CA (corresponding author), Univ Pedag &amp; Tecnol Colombia, Fac Ciencias, Grp Invest Biol Conservac, Escuela Biol, Tunja, Colombia.;Matallana-Puerto, CA (corresponding author), Univ Estadual Campinas, Inst Biol Vegetal, Programa Posgrad Biol Vegetal, Campinas, Brazil.</t>
  </si>
  <si>
    <t>ca.matallanap@gmail.com</t>
  </si>
  <si>
    <t>Matallana Puerto, Carlos Andres/0000-0001-8910-2684</t>
  </si>
  <si>
    <t>Aronson MFJ, 2014, P ROY SOC B-BIOL SCI, V281, DOI 10.1098/rspb.2013.3330; BEARDSELL DV, 1993, AUST J BOT, V41, P511, DOI 10.1071/BT9930511; Biccard A, 2009, S AFR J BOT, V75, P720, DOI 10.1016/j.sajb.2009.08.003; Cardoso J.C., 2022, FIGSHARE J CONTRIBUT, DOI [10.6084/m9.figshare.19617927.v1, DOI 10.6084/M9.FIGSHARE.19617927.V1]; Conole Lawrence E., 2004, Australian Field Ornithology, V21, P121; Ducroquet JPHJ, 1997, ACTA HORTIC, P37, DOI 10.17660/ActaHortic.1997.452.5; Feng AYT, 2014, URBAN ECOSYST, V17, P149, DOI 10.1007/s11252-013-0305-4; Fischer G., 2003, CULTIVO POSCOSECHA E, P9; Freitas T.C., 2020, CADERNOS AGROECOLOGI, V15; GOLDINGAY RL, 1991, OIKOS, V61, P79, DOI 10.2307/3545409; Gressler Eliana, 2006, Braz. J. Bot., V29, P509, DOI 10.1590/S0100-84042006000400002; Hickel E. R., 2000, Revista Brasileira de Fruticultura, V22, P96; JANZEN DH, 1985, OIKOS, V45, P308, DOI 10.2307/3565565; Johnson SD, 2001, AM J BOT, V88, P1768, DOI 10.2307/3558351; Keller Héctor A., 2007, Darwiniana, nueva serie, V45, P204; Klein AM, 2007, P ROY SOC B-BIOL SCI, V274, P303, DOI 10.1098/rspb.2006.3721; Kleizen C, 2008, ANN BOT-LONDON, V102, P747, DOI 10.1093/aob/mcn157; Maruyama P.K., 2021, GLOBAL REV URBAN POL, DOI [10.32942/osf.io/bpyvd, DOI 10.32942/OSF.IO/BPYVD]; Ollerton J, 2017, ANNU REV ECOL EVOL S, V48, P353, DOI 10.1146/annurev-ecolsys-110316-022919; Ollerton J, 2011, OIKOS, V120, P321, DOI 10.1111/j.1600-0706.2010.18644.x; Quintero O., 2003, CULTIVO POSCOSECHA E, P49; Ramirez F, 2017, SCI HORTIC-AMSTERDAM, V226, P333, DOI 10.1016/j.scienta.2017.08.054; Ratto F, 2018, FRONT ECOL ENVIRON, V16, P82, DOI 10.1002/fee.1763; Regan EC, 2015, CONSERV LETT, V8, P397, DOI 10.1111/conl.12162; Rodriguez C. L. F., 1996, Agronomia Colombiana, V13, P56; Rodriguez-Rodriguez MC, 2011, AM J BOT, V98, P1465, DOI 10.3732/ajb.1100146; Santos E., 2010, SERIE ACTIVIDAD DIFU, V602; Sazima Ivan, 2007, Biota Neotrop., V7, P0, DOI 10.1590/S1676-06032007000200035; STEWART AM, 1989, NEW ZEAL J CROP HORT, V17, P145; Tamayo-Uria I, 2014, J PEST SCI, V87, P107, DOI 10.1007/s10340-013-0530-x; Wang Y., 2008, NATURE PRECEDINGS, DOI [10.1038/npre.2008.1824.1, DOI 10.1038/NPRE.2008.1824.1]</t>
  </si>
  <si>
    <t>0012-9658</t>
  </si>
  <si>
    <t>1939-9170</t>
  </si>
  <si>
    <t>e3778</t>
  </si>
  <si>
    <t>10.1002/ecy.3778</t>
  </si>
  <si>
    <t>4E9LL</t>
  </si>
  <si>
    <t>WOS:000828486500001</t>
  </si>
  <si>
    <t>Penate-Pacheco, L; Gil-Novoa, JE; Carrillo-Fajardo, MY</t>
  </si>
  <si>
    <t>Penate-Pacheco, Liliana; Enrique Gil-Novoa, Jorge; Yenedith Carrillo-Fajardo, Merly</t>
  </si>
  <si>
    <t>Taxonomic and functional diversity of bryophytes in different covers of a Tropical Dry Forest, Cordoba (Colombia)</t>
  </si>
  <si>
    <t>BOLETIN DE LA SOCIEDAD ARGENTINA DE BOTANICA</t>
  </si>
  <si>
    <t>Bryoflora; functional traits; microclimate; substrate; water regulation</t>
  </si>
  <si>
    <t>SPECIES-DIVERSITY; COSTA-RICA; EXTRAPOLATION; BIODIVERSITY; RAREFACTION; EPIPHYTES; DISTURBANCE; REDUNDANCY; FRAMEWORK; RICHNESS</t>
  </si>
  <si>
    <t>Background and aims: Microclimatic changes resulting from the alterations in the forest structure affect the diversity of sensitive organisms such as bryophytes, the ecological processes in which they participate and their responses to new environments. In this work, the bryoflora and the functional groups associated with water regulation were characterized in different covers of a tropical dry forest: gallery forest-BG, silvopastoral system-SSP and high secondary vegetation-VSA. M&amp;M: There were nine transects of 0.1 ha (three/coverage) and in each one taxonomic, ecological (substrate epiphytic, epilithic, terrestrial and decomposing organic matter) and functional data (width of the caulidio, length and width of the filidio) were recorded, broad leaf base, hyalodermis and imbrication of filidios) Results: 19 species are recorded, 15 in VSA,14 in BG and 14 in SSP. The richest families are Fissidentaceae (8 spp) and Lejeuneaceae (3 spp). The substrate with the highest incidence is epiphyte-corticola. Six functional groups were identified, differentiated by the traits: filidio length and width, hyalodermis, and filidio imbrication. Conclusions: The richness and composition of bryophytes did not show significant differences in the evaluated coverages, possibly due to the homogenization of environmental conditions, product of the history of disturbance to which they have been subjected, therefore, it is important to evaluate other parameters (coverage) and compare with coverages vegetables in a better state of conservation. The functional groups are mainly determined by leaf size traits and are more frequent in the forest (BG and VSA).</t>
  </si>
  <si>
    <t>[Penate-Pacheco, Liliana; Yenedith Carrillo-Fajardo, Merly] Univ Cordoba, Fac Ciencias Basicas, Dept Biol, Grp Invest Biodiversidad Unicordoba, Monteria, Colombia; [Enrique Gil-Novoa, Jorge] Escola Nacl Bot Trop, Inst Pesquisas Jardim Bot Rio de Janeiro, Rio De Janeiro, Brazil; [Enrique Gil-Novoa, Jorge] Univ Pedag &amp; Tecnol Colombia, Fac Ciencias, Escuela Biol, Grp Invest Sistemat Biol SisBio, Av Cent Norte, Tunja, Colombia; [Yenedith Carrillo-Fajardo, Merly] Univ Pedag &amp; Tecnol Colombia, Ciencias Biol &amp; Ambientales, Fac Ciencias, Escuela Biol,Grp Invest Sistemat Biol SisBio, Av Cent Norte, Tunja, Colombia</t>
  </si>
  <si>
    <t>Jardim Botanico do Rio de Janeiro; Universidad Pedagogica y Tecnologica de Colombia (UPTC); Universidad Pedagogica y Tecnologica de Colombia (UPTC)</t>
  </si>
  <si>
    <t>Penate-Pacheco, L (corresponding author), Univ Cordoba, Fac Ciencias Basicas, Dept Biol, Grp Invest Biodiversidad Unicordoba, Monteria, Colombia.</t>
  </si>
  <si>
    <t>lili.penatte@gmail.com</t>
  </si>
  <si>
    <t>Aguirre J., 2008, COLOMBIA DIVERSIDAD, P55; AGUIRRE J, 2008, COLOMBIA DIVERSIDAD, P1; Antonelli A, 2018, PEERJ, V6, DOI 10.7717/peerj.5644; BALLESTEROS J., 2016, REV COLOMBIANA CIENC, V8, P94, DOI [10.24188/recia.v8.n1.2016.232, DOI 10.24188/RECIA.V8.N1.2016.232, DOI 10.24188/RECIA.V8.N0.2016.382]; Benitez A, 2015, FORESTRY, V88, P521, DOI 10.1093/forestry/cpv022; BENITEZ A., 2016, THESIS U REY JUAN CA; Biggs CR, 2020, ECOSPHERE, V11, DOI 10.1002/ecs2.3184; Casanoves F, 2011, VALORACION ANALISIS; Chao A, 2014, ECOL MONOGR, V84, P45, DOI 10.1890/13-0133.1; Chao A, 2012, ECOLOGY, V93, P2533, DOI 10.1890/11-1952.1; Dauphin G, 1999, REV BIOL TROP, V47, P309; DAUPHIN L., 2005, LANKESTERIANA, V5, P53, DOI DOI 10.15517/LANK.V5I1.21158; Dawson SK, 2021, ECOL EVOL, V11, P16434, DOI 10.1002/ece3.8321; Di Rienzo J.A., 2017, INFOSTAT VERSION 201; Diaz S, 1997, J VEG SCI, V8, P463, DOI 10.2307/3237198; DIAZ S., 2005, ECOSYSTEMS HUMAN WEL, P297; Diaz S, 2007, P NATL ACAD SCI USA, V104, P20684, DOI 10.1073/pnas.0704716104; Gil-Novoa JE, 2017, REV BIOL TROP, V65, P1397, DOI 10.15517/rbt.v65i4.25570; FRAHM J., 2003, BRIOLOGY TROPICAL; García Martínez Stevens, 2016, Colomb. for., V19, P41, DOI 10.14483/udistrital.jour.colomb.for.2016.1.a03; Garcia-Martinez S, 2017, REV MEX BIODIVERS, V88, P824, DOI 10.1016/j.rmb.2017.10.035; GLIME J., 2017, BRYOPHYTE ECOLOGY, P11; Gotelli NJ, 2001, ECOL LETT, V4, P379, DOI 10.1046/j.1461-0248.2001.00230.x; Gradstein R., 2010, TROPICAL BRYOLOGY, V31, P95, DOI DOI 10.11646/BDE.31.1.16; GRADSTEIN R., 2001, GUIDE BRYOPHYTES TRO; Gradstein SR, 2010, NOVA HEDWIGIA, P311; Guerra G, 2020, REV BIOL TROP, V68, P492, DOI 10.15517/rbt.v68i2.38965; Holz I, 2005, PLANT ECOL, V178, P89, DOI 10.1007/s11258-004-2496-5; Hsieh TC, 2016, METHODS ECOL EVOL, V7, P1451, DOI 10.1111/2041-210X.12613; HSIEH T.C., 2016, INEXT INTERPOLACION; IDEAM, 2010, LEYEND NAC COB TIERR; JOHANSSON D., 1974, THESIS U UPPSALA SUE; Laliberte E, 2010, ECOL LETT, V13, P76, DOI 10.1111/j.1461-0248.2009.01403.x; Lavorel S, 2013, J VEG SCI, V24, P942, DOI 10.1111/jvs.12083; Magill RE, 2010, PHYTOTAXA, V9, P167; Mason NWH, 2013, J VEG SCI, V24, P777, DOI 10.1111/jvs.12097; MERCHÁN-GAITÁN JULIA B., 2011, rev.colomb.cienc.hortic., V5, P295; MONTENEGRO L., 2005, ESTRATEGIAS ADAPTATI, P3; Moreno CE, 2018, BIOTROPICA, V50, P929, DOI 10.1111/btp.12607; Pavoine S, 2011, BIOL REV, V86, P792, DOI 10.1111/j.1469-185X.2010.00171.x; Pennington RT, 2009, ANNU REV ECOL EVOL S, V40, P437, DOI 10.1146/annurev.ecolsys.110308.120327; Perez-Hernandez C.X., 2019, BIODIVERSIDAD MUNDO, P285; Pillar VD, 2013, J VEG SCI, V24, P963, DOI 10.1111/jvs.12047; PIZANO C., 2017, BIODIVERSIDAD PRACTI, V2, P87; Pizano C., 2014, BOSQUE SECO TROPICAL, P36; POCS T, 2012, BRYOPHYTE ECOLOGY, P52; Proctor MCF, 2000, PLANT ECOL, V151, P41, DOI 10.1023/A:1026517920852; RANGEL O, 2010, COLOMBIA DIVERSIDAD, P1; Ricotta C, 2016, METHODS ECOL EVOL, V7, P1386, DOI 10.1111/2041-210X.12604; Rovere AE, 2011, REV CHIL HIST NAT, V84, P571, DOI 10.4067/S0716-078X2011000400009; SALAVARRIA L. E. B., 2017, THESIS U TECNICA PAR; Santos-C G, 2010, CALDASIA, V32, P257; SASTRE DE JESUS I., 2004, MEMORIAS 8 CONGRESO, P125; Schneider C.A., 2012, NAT METHODS, V9, P671, DOI DOI 10.1007/978-1-84882-087-6_9; Swenson NG, 2011, AM J BOT, V98, P472, DOI 10.3732/ajb.1000289; TERSTEEGE H, 1989, BIOTROPICA, V21, P331, DOI 10.2307/2388283; Uribe J., 1999, REV ACAD COLOMB CIEN, V23, P315; Violle C, 2007, OIKOS, V116, P882, DOI 10.1111/j.2007.0030-1299.15559.x; Werner Florian A., 2005, Ecotropica (Bonn), V11, P21; Werner FA, 2009, J VEG SCI, V20, P59, DOI 10.1111/j.1654-1103.2009.05286.x; WOLF J., 2003, STUDIES TROPICAL AND, P455</t>
  </si>
  <si>
    <t>SOC ARGENTINA BOTANICA</t>
  </si>
  <si>
    <t>INST MULTIDISCIPLINARIO BIOLOGIA VEGETAL, CASILLA DE CORREO 495, CORDOBA, 5000, ARGENTINA</t>
  </si>
  <si>
    <t>1851-2372</t>
  </si>
  <si>
    <t>B SOC ARGENT BOT</t>
  </si>
  <si>
    <t>Bol. Soc. Argent. Bot.</t>
  </si>
  <si>
    <t>+</t>
  </si>
  <si>
    <t>10.31055/1851.2372.v57.n4.36922</t>
  </si>
  <si>
    <t>A5FK9</t>
  </si>
  <si>
    <t>WOS:000955377200003</t>
  </si>
  <si>
    <t>Suarez, JM; Moreno-Ortiz, H; Otero, L; Matlin, S; Esteban-Perez, CI; Forero-Castro, M</t>
  </si>
  <si>
    <t>Marin Suarez, Johana; Moreno-Ortiz, Harold; Otero, Lissette; Matlin, Stephen; Ines Esteban-Perez, Clara; Forero-Castro, Maribel</t>
  </si>
  <si>
    <t>Evaluation of the Telomere Length and its Effect on the Ovarian Reserve in a Sample of Colombian Women</t>
  </si>
  <si>
    <t>EUROPEAN JOURNAL OF HUMAN GENETICS</t>
  </si>
  <si>
    <t>54th Conference of the European-Society-of-Human-Genetics (ESHG)</t>
  </si>
  <si>
    <t>AUG 28-31, 2021</t>
  </si>
  <si>
    <t>ELECTR NETWORK</t>
  </si>
  <si>
    <t>[Marin Suarez, Johana; Forero-Castro, Maribel] Univ Pedag &amp; Tecnol Colombia, Tunja, Colombia; [Moreno-Ortiz, Harold; Ines Esteban-Perez, Clara] Dept Biogenet Reprod Invitro, Bogota, Colombia; [Otero, Lissette; Matlin, Stephen] Life Length, Madrid, Spain</t>
  </si>
  <si>
    <t>SPRINGERNATURE</t>
  </si>
  <si>
    <t>CAMPUS, 4 CRINAN ST, LONDON, N1 9XW, ENGLAND</t>
  </si>
  <si>
    <t>1018-4813</t>
  </si>
  <si>
    <t>1476-5438</t>
  </si>
  <si>
    <t>EUR J HUM GENET</t>
  </si>
  <si>
    <t>Eur. J. Hum. Genet.</t>
  </si>
  <si>
    <t>SUPPL 1</t>
  </si>
  <si>
    <t>P01.065.A</t>
  </si>
  <si>
    <t>Biochemistry &amp; Molecular Biology; Genetics &amp; Heredity</t>
  </si>
  <si>
    <t>Science Citation Index Expanded (SCI-EXPANDED); Conference Proceedings Citation Index - Science (CPCI-S)</t>
  </si>
  <si>
    <t>0I4BX</t>
  </si>
  <si>
    <t>WOS:000779367700273</t>
  </si>
  <si>
    <t>de la Torre, AR; Manrique, IDM</t>
  </si>
  <si>
    <t>de la Torre, Alfredo Rocha; Manrique, Ivan Dario Munoz</t>
  </si>
  <si>
    <t>Higher than reality is possibility: dynamis and energeia in Heidegger</t>
  </si>
  <si>
    <t>[de la Torre, Alfredo Rocha; Manrique, Ivan Dario Munoz] Pedag &amp; Technol Univ Colombia, Tunja, Colombia</t>
  </si>
  <si>
    <t>de la Torre, AR (corresponding author), Pedag &amp; Technol Univ Colombia, Tunja, Colombia.</t>
  </si>
  <si>
    <t>Aristoteles, 1990, METAFISICA; Aubenque Pierre, 1962, PROBLEME ETRE CHEZ A; Brogan W., 1994, READING HEIDEGGER ST, P213; Gadamer H.-G., 1989, DILTHEYJAHRBUCH, V6, P228; Giusti R., 2000, POTENZA ALLORIGINE H; Heidegger M., 1980, SACHE DENKENS GA 14, P91; Heidegger M., 1992, FRANKFURT M VITTORIO; Heidegger M., 2006, SEIN ZEIT; Heidegger M., 1993, GA, V22; Heidegger M., 1987, WESEN BEGRIFF PHYSIS, V1, P239; Heidegger M., 1989, DILTHEY JB, V6, P237; Heidegger Martin., 1994, GA; Le Moli A., 1998, GIORNALE METAFISICA0, V20, P185; Volpi F., 1990, AQUINAS, V33, P3; Volpi F., 2007, CONTRIBUTI FILOSOFIA; Volpi F., 1984, PHILOSPHICHER LITERA, V37; Volpi F., 1984, HEIDEGGER ARISTOTELE; Volpi F., 1976, HEIDEGGER BRENTANO A</t>
  </si>
  <si>
    <t>10.19053/01235095.v8.n31.2022.15298</t>
  </si>
  <si>
    <t>WOS:000905329300002</t>
  </si>
  <si>
    <t>Garcia, IS; Gomez, CAP; Weber, MH; Gaona, IMS; Martinez, CPC; Zambrano, JJM; Sarmiento, HAR; Cagigas, JAM; Avila, MA; Rettori, C; Vargas, CAP; Gomez, JAM</t>
  </si>
  <si>
    <t>Garcia, Ivan Supelano; Gomez, Carlos Andres Palacio; Weber, Marc H.; Gaona, Indry Milena Saavedra; Martinez, Claudia Patricia Castaneda; Zambrano, Jose Jobanny Martinez; Sarmiento, Hugo Alfonso Rojas; Cagigas, Julian Andres Munevar; Avila, Marcos A.; Rettori, Carlos; Vargas, Carlos Arturo Parra; Gomez, Julieth Alexandra Mejia</t>
  </si>
  <si>
    <t>Physicochemical Properties of Ti3+ Self-Doped TiO2 Loaded on Recycled Fly-Ash Based Zeolites for Degradation of Methyl Orange</t>
  </si>
  <si>
    <t>CONDENSED MATTER</t>
  </si>
  <si>
    <t>aluminosilicate; coal fly ash; dye degradation; photocatalyst; TiO2; zeolite</t>
  </si>
  <si>
    <t>ENHANCED PHOTOCATALYTIC ACTIVITY; NANOPARTICLES; ADSORPTION; REMOVAL</t>
  </si>
  <si>
    <t>The extensive production of coal fly ash by coal combustion is an issue of concern due to its environmental impact. TiO2-zeolite composites were synthesized, at low cost, using recycled coal fly ash from a local thermoelectric power plant to produce the zeolite using the hydrothermal method. TiO2 was loaded by means of the impregnation method using ethanol and titanium isopropoxide between 8.7 and 49.45 wt% TiO2. The samples were characterized by X-ray diffraction, Raman, electron spin resonance, high-resolution transmission electron microscopy, N-2 adsorption-desorption, doppler broadening of annihilation radiation, and diffuse reflectance techniques, and the photocatalytic activity of the composites was evaluated according to the degradation of methyl orange under UV light. The results show that TiO2 crystallizes in the anatase phase with a Ti3+ oxidation state, without post-treatment. TiO2 particles were located within the pores of the substrate and on its surface, increasing the surface area of the composites in comparison with that of the substrates. Samples with TiO2 at 8.7 and 25 wt% immobilized on hydroxysodalite show the highest degradation of methyl orange among all studied materials, including the commercial TiO2 Degussa P25 under UV light.</t>
  </si>
  <si>
    <t>[Garcia, Ivan Supelano; Gaona, Indry Milena Saavedra; Vargas, Carlos Arturo Parra] Univ Pedag &amp; Tecnol Colombia UPTC, Grp Fis Mat, Ave Cent Norte 39-115, Tunja 150003, Boyaca, Colombia; [Gomez, Carlos Andres Palacio; Gomez, Julieth Alexandra Mejia] Univ Antonio Narino, Grp GIFAM, Carrera 7 21-84, Tunja 150001, Boyaca, Colombia; [Weber, Marc H.] Washington State Univ, Inst Mat Res, Pullman, WA 99164 USA; [Martinez, Claudia Patricia Castaneda; Sarmiento, Hugo Alfonso Rojas] Univ Pedag &amp; Tecnol Colombia UPTC, Grp Catalisis UPTC, Ave Cent Norte 39-115, Tunja 150003, Boyaca, Colombia; [Cagigas, Julian Andres Munevar; Avila, Marcos A.; Rettori, Carlos] Univ Fed ABC UFABC, Ctr Ciencias Nat &amp; Humanas, BR-09210580 Santo Andre, SP, Brazil; [Rettori, Carlos] Univ Estadual Campinas UNICAMP, Inst Fis Gleb Wataghin, BR-13083859 Campinas, SP, Brazil</t>
  </si>
  <si>
    <t>Universidad Pedagogica y Tecnologica de Colombia (UPTC); Universidad Antonio Narino; Washington State University; Universidad Pedagogica y Tecnologica de Colombia (UPTC); Universidade Estadual de Campinas</t>
  </si>
  <si>
    <t>Gomez, CAP (corresponding author), Univ Antonio Narino, Grp GIFAM, Carrera 7 21-84, Tunja 150001, Boyaca, Colombia.</t>
  </si>
  <si>
    <t>Avila, Marcos A/B-3578-2008; Palacio-Gómez, Carlos Andrés/B-1544-2016; Supelano, Iván/A-9263-2016; Martinez, Jose J/G-1924-2018</t>
  </si>
  <si>
    <t>Avila, Marcos A/0000-0002-3796-3244; Palacio-Gómez, Carlos Andrés/0000-0003-0842-5567; Castaneda Martinez, Claudia Patricia/0000-0002-5360-2756; Saavedra Gaona, Indry Milena/0000-0002-8354-1886; Martinez, Jose J/0000-0002-4906-7121; Supelano, Ivan/0000-0002-8020-2686</t>
  </si>
  <si>
    <t>Alberti S, 2019, J ALLOY COMPD, V797, P820, DOI 10.1016/j.jallcom.2019.05.098; Amoni BD, 2019, ROAD MATER PAVEMENT, V20, pS558, DOI 10.1080/14680629.2019.1633766; Aronne A, 2017, RSC ADV, V7, P2373, DOI 10.1039/c6ra27111a; Choi HC, 2005, VIB SPECTROSC, V37, P33, DOI 10.1016/j.vibspec.2004.05.006; Chong MN, 2015, J TAIWAN INST CHEM E, V50, P288, DOI 10.1016/j.jtice.2014.12.013; Derkowski A, 2006, POWDER TECHNOL, V166, P47, DOI 10.1016/j.powtec.2006.05.004; Dong JY, 2014, ACS APPL MATER INTER, V6, P1385, DOI 10.1021/am405549p; Fang WZ, 2016, CATAL TODAY, V266, P188, DOI 10.1016/j.cattod.2015.07.027; Gamero-Vega KY, 2019, J CHEM TECHNOL BIOT, V94, P3479, DOI 10.1002/jctb.5922; Ghafoor S, 2017, SCI REP-UK, V7, DOI 10.1038/s41598-017-00366-7; Gomaa E, 2019, J CLEAN PROD, V235, P404, DOI 10.1016/j.jclepro.2019.06.268; Guesh K, 2016, MICROPOR MESOPOR MAT, V225, P88, DOI 10.1016/j.micromeso.2015.12.001; Hafez H, 2020, J CLEAN PROD, V244, DOI 10.1016/j.jclepro.2019.118722; Hefni Y, 2018, CONSTR BUILD MATER, V172, P728, DOI 10.1016/j.conbuildmat.2018.04.021; Irfan H, 2018, J ASIAN CERAM SOC, V6, P54, DOI 10.1080/21870764.2018.1439606; Jansson I, 2015, APPL CATAL B-ENVIRON, V178, P100, DOI 10.1016/j.apcatb.2014.10.022; Khan H, 2016, IND ENG CHEM RES, V55, P6619, DOI 10.1021/acs.iecr.6b01104; Kotova OB, 2016, ADV APPL CERAM, V115, P152, DOI 10.1179/1743676115Y.0000000063; Lan T, 2020, MATER LETT, V274, DOI 10.1016/j.matlet.2020.127977; LEITH IR, 1972, PROC R SOC LON SER-A, V330, P247, DOI 10.1098/rspa.1972.0142; Li WJ, 2012, J PHYS CHEM C, V116, P3552, DOI 10.1021/jp209661d; Liu CG, 2015, FUEL, V157, P183, DOI 10.1016/j.fuel.2015.05.003; Liu GL, 2012, NANOTECHNOLOGY, V23, DOI 10.1088/0957-4484/23/29/294003; Liu RR, 2018, FRONT MATER SCI, V12, P292, DOI 10.1007/s11706-018-0429-9; Liu ZC, 2014, MATER EXPRESS, V4, P465, DOI 10.1166/mex.2014.1196; Mazzolini P, 2016, J PHYS CHEM C, V120, P18878, DOI 10.1021/acs.jpcc.6b05282; Mehta A, 2016, J NANOPART RES, V18, DOI 10.1007/s11051-016-3523-x; Mendoza JA, 2016, ENVIRON ENG RES, V21, P291, DOI 10.4491/eer.2016.016; OHSAKA T, 1978, J RAMAN SPECTROSC, V7, P321, DOI 10.1002/jrs.1250070606; Qiu MQ, 2016, RSC ADV, V6, P74376, DOI 10.1039/c6ra12674j; Rafiq A, 2021, J IND ENG CHEM, V97, P111; Saputeraa WH, 2015, CATAL TODAY, V246, P60, DOI 10.1016/j.cattod.2014.07.049; Setthaya N, 2017, POWDER TECHNOL, V313, P417, DOI 10.1016/j.powtec.2017.01.014; Shah MW, 2015, SCI REP-UK, V5, DOI 10.1038/srep15804; Sivalingam S, 2018, APPL SURF SCI, V455, P903, DOI 10.1016/j.apsusc.2018.05.222; Su J, 2014, RSC ADV, V4, P13979, DOI 10.1039/c3ra47757f; Sun Q, 2015, POWDER TECHNOL, V274, P88, DOI 10.1016/j.powtec.2014.12.052; Supelano GI, 2020, FUEL, V263, DOI 10.1016/j.fuel.2019.116800; Supelano Garcia I, 2021, J MET MATER MINER, V31, P54, DOI 10.14456/jmmm.2021.19; Verrecchia G, 2020, FUEL, V276, DOI 10.1016/j.fuel.2020.118041; Wang JP, 2015, APPL SURF SCI, V356, P391, DOI 10.1016/j.apsusc.2015.08.029; Xing MY, 2013, J CATAL, V297, P236, DOI 10.1016/j.jcat.2012.10.014; Xiong LB, 2012, J NANOMATER, V2012, DOI 10.1155/2012/831524; Xu YM, 1997, J PHYS CHEM B, V101, P3115, DOI 10.1021/jp962494l; Yamaguchi S, 2010, ELECTROCHIM ACTA, V55, P7745, DOI 10.1016/j.electacta.2009.11.091; Yang L, 2017, APPL SURF SCI, V392, P687, DOI 10.1016/j.apsusc.2016.09.023; Zhang GX, 2018, MICROPOR MESOPOR MAT, V255, P61, DOI 10.1016/j.micromeso.2017.07.028; Zhao XH, 2020, J CLEAN PROD, V260, DOI 10.1016/j.jclepro.2020.121045; Zhao YX, 2019, ADV MATER, V31, DOI 10.1002/adma.201806482</t>
  </si>
  <si>
    <t>2410-3896</t>
  </si>
  <si>
    <t>CONDENS MATTER</t>
  </si>
  <si>
    <t>Condens. Matter</t>
  </si>
  <si>
    <t>10.3390/condmat7040069</t>
  </si>
  <si>
    <t>Physics, Condensed Matter</t>
  </si>
  <si>
    <t>7D7GG</t>
  </si>
  <si>
    <t>WOS:000900653400001</t>
  </si>
  <si>
    <t>Mora, A; Delgado, HG; Villamizar-Escalante, N; Bermudez, MA; Bernet, M; Velandia, F</t>
  </si>
  <si>
    <t>Mora, Andres; Delgado, Helbert Garcia; Villamizar-Escalante, Nicolas; Bermudez, Mauricio A.; Bernet, Matthias; Velandia, Francisco</t>
  </si>
  <si>
    <t>Climate or tectonics? What controls the spatial-temporal variations in erosion rates across the Eastern Cordillera of Colombia? [Global and planetary change, volume 203, August 2021, 103,541]: Comment and reply</t>
  </si>
  <si>
    <t>GLOBAL AND PLANETARY CHANGE</t>
  </si>
  <si>
    <t>Exhumation rates; Thermochronology; Northern Andes; Climate; Tectonics</t>
  </si>
  <si>
    <t>EVOLUTION</t>
  </si>
  <si>
    <t>[Mora, Andres] Ecopetrol Oleo &amp; Gas Brazil, Praia Botafogo 300 Sl 1101 Botafogo, BR-22250905 Rio De Janeiro, RJ, Brazil; [Delgado, Helbert Garcia] Syracuse Univ, Dept Earth &amp; Environm Sci, Heroy Geol Lab 204, Syracuse, NY 13244 USA; [Villamizar-Escalante, Nicolas] Univ Salzburg, Dept Geog &amp; Geol, Hellbrunnerstr 34-III, A-5020 Salzburg, Austria; [Bermudez, Mauricio A.] Univ Pedag &amp; Tecnol Colombia UPTC, Escuela Ingn Geol, Calle 4 15-134, Sogamoso 152210, Colombia; [Bernet, Matthias] Univ Grenoble Alpes, Inst Sci Terre, CNRS, 1381 Rue piscine, F-38041 Grenoble, France; [Velandia, Francisco] Univ Ind Santander, Escuela Geol, Cra 9 Calle 27, Bucaramanga 680002, Colombia</t>
  </si>
  <si>
    <t>Syracuse University; Salzburg University; Universidad Pedagogica y Tecnologica de Colombia (UPTC); UDICE-French Research Universities; Communaute Universite Grenoble Alpes; Universite Grenoble Alpes (UGA); Centre National de la Recherche Scientifique (CNRS); Institut de Recherche pour le Developpement (IRD); Universite Gustave-Eiffel; Universite de Savoie; Universidad Industrial de Santander</t>
  </si>
  <si>
    <t>Mora, A (corresponding author), Ecopetrol Oleo &amp; Gas Brazil, Praia Botafogo 300 Sl 1101 Botafogo, BR-22250905 Rio De Janeiro, RJ, Brazil.</t>
  </si>
  <si>
    <t>andresmora30@googlemail.com</t>
  </si>
  <si>
    <t>Villamizar Escalante, Nicolas/0000-0003-0951-4473</t>
  </si>
  <si>
    <t>Ramirez-Arias JC, 2012, J S AM EARTH SCI, V39, P112, DOI 10.1016/j.jsames.2012.04.008; Garcia-Delgado H, 2021, GLOBAL PLANET CHANGE, V203, DOI 10.1016/j.gloplacha.2021.103541; Hilton RG, 2020, NAT REV EARTH ENV, V1, P284, DOI 10.1038/s43017-020-0058-6; Jimenez L, 2013, GEOL SOC SPEC PUBL, V377, P189, DOI 10.1144/SP377.11; Montero-Olarte J, 2016, LANDSLIDES AND ENGINEERED SLOPES: EXPERIENCE, THEORY AND PRACTICE, VOLS 1-3, P1445; Mora A., 2015, AM ASS PETROLEUM GEO, P547, DOI DOI 10.1306/13531949M1083652; Mora A., 2020, GEOLOGY COLOMBIA; Mora A., 2020, GEOLOGY COLOMBIA, V3, P123; Mora A, 2008, GEOL SOC AM BULL, V120, P930, DOI 10.1130/B26186.1; Mora A, 2014, LITHOSPHERE-US, V6, P456, DOI 10.1130/L340.1; Mora A, 2013, GEOL SOC SPEC PUBL, V377, P411, DOI 10.1144/SP377.6; Perez-Consuegra N, 2021, TECTONICS, V40, DOI 10.1029/2020TC006652; Silva A, 2013, GEOL SOC SPEC PUBL, V377, P369, DOI 10.1144/SP377.15; Voosen P, 2019, SCIENCE, V363, P13, DOI 10.1126/science.363.6422.13</t>
  </si>
  <si>
    <t>0921-8181</t>
  </si>
  <si>
    <t>1872-6364</t>
  </si>
  <si>
    <t>GLOBAL PLANET CHANGE</t>
  </si>
  <si>
    <t>Glob. Planet. Change</t>
  </si>
  <si>
    <t>10.1016/j.gloplacha.2022.103793</t>
  </si>
  <si>
    <t>Geography, Physical; Geosciences, Multidisciplinary</t>
  </si>
  <si>
    <t>Physical Geography; Geology</t>
  </si>
  <si>
    <t>1W2FO</t>
  </si>
  <si>
    <t>WOS:000806593600004</t>
  </si>
  <si>
    <t>Alfaro-Garcia, VG; Blanco-Mesa, F; Leon-Castro, E; Merigo, JM</t>
  </si>
  <si>
    <t>Alfaro-Garcia, Victor G.; Blanco-Mesa, Fabio; Leon-Castro, Ernesto; Merigo, Jose M.</t>
  </si>
  <si>
    <t>Bonferroni Weighted Logarithmic Averaging Distance Operator Applied to Investment Selection Decision Making</t>
  </si>
  <si>
    <t>logarithmic averaging operators; distance measures; immediate weights; Bonferroni means; OWA operators</t>
  </si>
  <si>
    <t>HEAVY MOVING AVERAGES; AGGREGATION OPERATORS</t>
  </si>
  <si>
    <t>Distance measures in ordered weighted averaging (OWA) operators allow the modelling of complex decision making problems where a set of ideal values or characteristics are required to be met. The objective of this paper is to introduce extended distance measures and logarithmic OWA-based decision making operators especially designed for the analysis of financial investment options. Based on the immediate weights, Bonferroni means and logarithmic averaging operators, in this paper we introduce the immediate weights logarithmic distance (IWLD), the immediate weights ordered weighted logarithmic averaging distance (IWOWLAD), the hybrid weighted logarithmic distance (HWLD), the Bonferroni ordered weighted logarithmic averaging distance (B-OWLAD) operator, the Bonferroni immediate weights ordered weighted logarithmic averaging distance (B-IWOWLAD) operator and the Bonferroni hybrid weighted logarithmic distance (HWLD). A financial decision making illustrative example is proposed, and the main benefits of the characteristic design of the introduced operators is shown, which include the analysis of the interrelation between the modelled arguments required from the decision makers and the stakeholders, and the comparison to an ideal set of characteristics that the possible companies in the example must portray. Moreover, some families, particular cases and brief examples of the proposed operators, are studied and presented. Finally, among the main advantages are the modeling of diverse perspectives, attitudinal characteristics and complex scenarios, through the interrelation and comparison between the elements with an ideal set of characteristics given by the decision makers and a set of options.</t>
  </si>
  <si>
    <t>[Alfaro-Garcia, Victor G.] Univ Michoacana, Fac Contaduria &amp; Ciencias Adm, Gral Francisco J Mugica S-N, Morelia 58030, Michoacan, Mexico; [Blanco-Mesa, Fabio] Univ Pedag &amp; Tecnol Colombia, Escuela Adm Empresas, Fac Ciencias Econ &amp; Adm, Tunja 150001, Colombia; [Leon-Castro, Ernesto] Univ Catolica Santisima Concepcion, Fac Econ &amp; Adm Sci, Av Alonso de Ribera 2850, Concepcion 4030000, Chile; [Merigo, Jose M.] Univ Chile, Sch Business &amp; Econ, Dept Management Control &amp; Informat Syst, Av Diagonal Paraguay 257, Santiago 8330015, Chile</t>
  </si>
  <si>
    <t>Universidad Michoacana de San Nicolas de Hidalgo; Universidad Pedagogica y Tecnologica de Colombia (UPTC); Universidad Catolica de la Santisima Concepcion; Universidad de Chile</t>
  </si>
  <si>
    <t>Leon-Castro, E (corresponding author), Univ Catolica Santisima Concepcion, Fac Econ &amp; Adm Sci, Av Alonso de Ribera 2850, Concepcion 4030000, Chile.</t>
  </si>
  <si>
    <t>victor.alfaro@umich.mx; fabio.blanco01@uptc.edu.co; eleon@ucsc.cl; jose.merigo@uts.edu.au</t>
  </si>
  <si>
    <t>Merigo, Jose M./G-3614-2010; Blanco-Mesa, Fabio/K-7225-2012; Leon-Castro, Ernesto/AAD-2628-2021</t>
  </si>
  <si>
    <t>Merigo, Jose M./0000-0002-4672-6961; Blanco-Mesa, Fabio/0000-0002-9462-6498; Leon-Castro, Ernesto/0000-0002-0087-2226; Alfaro Garcia, Victor Gerardo/0000-0002-0412-2166</t>
  </si>
  <si>
    <t>ANID InES Ciencia Abierta [INCA210005]</t>
  </si>
  <si>
    <t>ANID InES Ciencia Abierta</t>
  </si>
  <si>
    <t>ANID InES Ciencia Abierta INCA210005.</t>
  </si>
  <si>
    <t>Aggarwal M, 2015, INT J INTELL SYST, V30, P170, DOI 10.1002/int.21693; Alfaro-Garcia VG, 2018, INT J INTELL SYST, V33, P1488, DOI 10.1002/int.21988; Baez-Palencia D., 2019, INQUIETUD EMPRESARIA, V19, P11; Beliakov G, 2016, STUD FUZZ SOFT COMP, V329, P1, DOI 10.1007/978-3-319-24753-3; Bennet A, 2008, HDB DECISION SUPPORT, V1, P3, DOI [10.1007/978-3-540-48713-5_1, DOI 10.1007/978-3-540-48713-5_1]; Blanco-Mesa F., 2019, APLICACIONES MATEMAT; Blanco-Mesa F, 2021, MATHEMATICS-BASEL, V9, DOI 10.3390/math9172136; Blanco-Mesa F, 2019, INT J INTELL SYST, V34, P3020, DOI 10.1002/int.22184; Blanco-Mesa F, 2017, J INTELL FUZZY SYST, V32, P2033, DOI 10.3233/JIFS-161640; Blanco-Mesa F, 2016, KNOWL-BASED SYST, V111, P217, DOI 10.1016/j.knosys.2016.08.016; Bonferroni C., 1950, BOLL UNIONE MAT ITAL, V5, P267; Calvo T, 2002, STUD FUZZ SOFT COMP, V97, P3; Chen SM, 2011, EXPERT SYST APPL, V38, P4097, DOI 10.1016/j.eswa.2010.09.073; Chen ZS, 2016, IEEE T FUZZY SYST, V24, P1525, DOI 10.1109/TFUZZ.2016.2540066; Detyniecki M, 2001, THESIS; Dezert J, 2020, PROCEEDINGS OF 2020 23RD INTERNATIONAL CONFERENCE ON INFORMATION FUSION (FUSION 2020), P195; Dubois D., 1993, READINGS FUZZY SETS, P112, DOI [DOI 10.1016/B978-1-4832-1450-4.50015-8, 10.1016/B978-1-4832-1450-4.50015-8]; Espinoza-Audelo LF, 2020, MATHEMATICS-BASEL, V8, DOI 10.3390/math8081350; Faizi S, 2017, SYMMETRY-BASEL, V9, DOI 10.3390/sym9080136; Gil-Lafuente A.M., 2007, LECT MODEL SIMUL, V8, P84; Monge RG, 2021, MATHEMATICS-BASEL, V9, DOI 10.3390/math9161892; HAMMING RW, 1950, BELL SYST TECH J, V29, P147, DOI 10.1002/j.1538-7305.1950.tb00463.x; Herrera F, 1997, IEEE T SYST MAN CY A, V27, P646, DOI 10.1109/3468.618263; Hogarth J. M., 2003, FED RES SYST COMM AF; Hwang C.-L., 1981, LECT NOTES EC MATH S, V186, DOI 10.1007/978-3-642-48318-9; HWANG CL, 1993, COMPUT OPER RES, V20, P889, DOI 10.1016/0305-0548(93)90109-V; Kumbure MM, 2020, PATTERN RECOGN LETT, V140, P172, DOI 10.1016/j.patrec.2020.10.005; Leon-Castro E, 2021, J INTELL FUZZY SYST, V40, P1723, DOI 10.3233/JIFS-189179; Leon-Castro E, 2018, INT J INTELL SYST, V33, P1823, DOI 10.1002/int.21916; Leon-Castro E, 2018, CYBERNET SYST, V49, P26, DOI 10.1080/01969722.2017.1412883; Li WW, 2020, INT J INTELL SYST, V35, P250, DOI 10.1002/int.22207; Li XH, 2015, APPL SOFT COMPUT, V30, P454, DOI 10.1016/j.asoc.2015.01.054; Liu PD, 2014, CYBERNET SYST, V45, P418, DOI 10.1080/01969722.2014.929348; Merigo JM, 2015, APPL SOFT COMPUT, V27, P420, DOI 10.1016/j.asoc.2014.10.035; Merigo JM, 2012, SORT-STAT OPER RES T, V36, P81; Olazabal-Lugo M, 2019, ECON COMPUT ECON CYB, V53, P79, DOI 10.24818/18423264/53.4.19.05; Salabun W, 2016, STUD COMPUT INTELL, V642, P445, DOI 10.1007/978-3-319-31277-4_39; Salabun W, 2015, J MULTI-CRITERIA DEC, V22, P37, DOI 10.1002/mcda.1525; Sun M., 2012, ADV MODEL OPTIM, V14, P663; Watrobski J, 2022, SUSTAIN CITIES SOC, V83, DOI 10.1016/j.scs.2022.103926; Wei CF, 2012, J COMPUT SYST SCI, V78, P997, DOI 10.1016/j.jcss.2011.11.003; Xu ZS, 2008, J SYST SCI SYST ENG, V17, P432, DOI 10.1007/s11518-008-5084-8; Xu ZS, 2002, INT J INTELL SYST, V17, P569, DOI 10.1002/int.10038; Yager R.R., 2002, FUZZY OPTIM DECIS MA, V1, P379, DOI DOI 10.1023/A:1020959313432; Yager RR, 2013, PROCEEDINGS OF THE 2013 JOINT IFSA WORLD CONGRESS AND NAFIPS ANNUAL MEETING (IFSA/NAFIPS), P57, DOI 10.1109/IFSA-NAFIPS.2013.6608375; Yager RR, 2009, INT J APPROX REASON, V50, P1279, DOI 10.1016/j.ijar.2009.06.004; Yager RR, 2009, FUZZY OPTIM DECIS MA, V8, P245, DOI 10.1007/s10700-009-9063-4; YAGER RR, 1988, IEEE T SYST MAN CYB, V18, P183, DOI 10.1109/21.87068; Yager RR, 1999, IEEE T SYST MAN CY B, V29, P141, DOI 10.1109/3477.752789; Yu DJ, 2016, J INTELL FUZZY SYST, V30, P2727, DOI 10.3233/IFS-152026; ZADEH LA, 1975, INFORM SCIENCES, V8, P199, DOI [10.1016/0020-0255(75)90036-5, 10.1016/0020-0255(75)90046-8]; Zeng SJ, 2021, INT J INTELL SYST, V36, P6531, DOI 10.1002/int.22559; Zeng SZ, 2017, INT J INTELL SYST, V32, P1136, DOI 10.1002/int.21886; Zhou LG, 2010, INT J INTELL SYST, V25, P683, DOI 10.1002/int.20419</t>
  </si>
  <si>
    <t>10.3390/math10122100</t>
  </si>
  <si>
    <t>2N1DF</t>
  </si>
  <si>
    <t>WOS:000818128200001</t>
  </si>
  <si>
    <t>Vargas, EE; Leon, GJ; Martinez, LF</t>
  </si>
  <si>
    <t>Vargas, Edgar E.; Leon, Gina J.; Martinez, Leonardo F.</t>
  </si>
  <si>
    <t>ARGUMENTATION FROM THE TEACHING OF THE CHEMICAL SOLUTIONS br</t>
  </si>
  <si>
    <t>QUIMICA NOVA</t>
  </si>
  <si>
    <t>argumentation in sciences; chemical solution; initial teacher training; chemistry teaching; argumentative processes</t>
  </si>
  <si>
    <t>This research, whit the design and implementation of contextualized laboratory activities in chemistry was carried out, in order to demonstrate the level of argumentation presented by teachers in initial training, first semester of the Bachelor of Natural Sciences program and Environmental Education of the Pedagogical and Technological University of Colombia UPTC. This research was developed with a qualitative, interpretive and phenomenological research approach, allowing us to observe the progress presented by the students under study, in terms of argumentative processes, taking as reference Toulmin who describes different levels of argumentation. The research was carried out in three phases: a diagnostic phase that allowed identifying the initial state of the teachers in training, a second phase of design and implementation of the sequence of activities based on situations of context, and finally a third evaluation phase in which the levels of argumentation reached by the students, having as a fundamental basis the triangulation of data between the experiences of the students confronted with theoretical references that would allow us to account for the results found. It was possible to identify the difficulty that students present when preparing structured arguments as proposed by Toulmin, demonstrating the lack of appropriation of scientific language that students have and the low development of this competence at the different levels of academic. Is important to promote the use of different didactic strategies such as experimentation in the classroom, which allow strengthening the different argumentation processes in students.</t>
  </si>
  <si>
    <t>[Vargas, Edgar E.] Univ Pedag &amp; Tecnol Colombia, Fac Educ, Tunja 150003, Colombia; [Leon, Gina J.] Escuela Colombiana Carreras Ind, Fac Salud, Bogota 110221, Colombia; [Martinez, Leonardo F.] Univ Pedagog Nacl Colombia, Dept Quim, Bogota 110221, Colombia</t>
  </si>
  <si>
    <t>Vargas, EE (corresponding author), Univ Pedag &amp; Tecnol Colombia, Fac Educ, Tunja 150003, Colombia.</t>
  </si>
  <si>
    <t>edgar.vargas01@uptc.edu.co</t>
  </si>
  <si>
    <t>Archila PA, 2014, ENSEN CIENC, V32, P705, DOI 10.5565/rev/ensciencias.1530; Beltran J., 2013, ARGUMENTACION CLASES; Carrascosa J., 2005, REV EUREKA ENSEN DIV, P183, DOI [10.25267/Rev_Eureka_ensen_divulg_cienc.2005.v2.i2.06, DOI 10.25267/REV_EUREKA_ENSEN_DIVULG_CIENC.2005.V2.I2.06]; Chamizo-Guerrero J. A., 2007, ENSEN CIENC, V25, P133; Hernandez R. S., 2005, METODOLOGIA INVESTIG; Jimenez-Aleixandre, 2010, COMPETENCIAS ARGUMEN; Lopez, 2018, DESARROLLO ARGUMENTA; Prada O. L. B., 2010, TECNE EPISTEME DIDAX, P41; Ramirez, 2011, APLICACION CONCEPTOS; Rivera, 2008, ESTUDIO EXPLORATORIO; Rodríguez Arocho Wanda C., 2019, Rev. Actual. Investig. Educ, V19, P786, DOI 10.15517/aie.v19i1.35569; Sanchez J. F. M., 2013, CONSTRUCCION FENOMEN; Toulmin S. E, 2003, USES ARGUMENT, DOI DOI 10.1017/CBO9780511840005; VANEEMEREN FH, 2000, ARGUMENTATION, V14, P293, DOI DOI 10.1023/A:1007857114100</t>
  </si>
  <si>
    <t>SOC BRASILEIRA QUIMICA</t>
  </si>
  <si>
    <t>CAIXA POSTAL 26037, 05599-970 SAO PAULO, BRAZIL</t>
  </si>
  <si>
    <t>0100-4042</t>
  </si>
  <si>
    <t>1678-7064</t>
  </si>
  <si>
    <t>QUIM NOVA</t>
  </si>
  <si>
    <t>Quim. Nova</t>
  </si>
  <si>
    <t>10.21577/0100-4042.20170940</t>
  </si>
  <si>
    <t>8O5CN</t>
  </si>
  <si>
    <t>WOS:000855204400001</t>
  </si>
  <si>
    <t>Aguilera-Prado, M; Salcedo, O; Fernandez, EA</t>
  </si>
  <si>
    <t>Aguilera-Prado, Marco; Salcedo, Octavio; Avendano Fernandez, Eduardo</t>
  </si>
  <si>
    <t>Citation and Similarity in Academic Texts: Colombian Engineering Case</t>
  </si>
  <si>
    <t>CYBERNETICS AND INFORMATION TECHNOLOGIES</t>
  </si>
  <si>
    <t>Latent semantic analysis; text similarity; citation determinants; bibliometrics</t>
  </si>
  <si>
    <t>LATENT SEMANTIC ANALYSIS</t>
  </si>
  <si>
    <t>This article provides the results of a citation determinants model for a set of academic engineering texts from Colombia. The model establishes the determinants of the probability that a text receives at least one citation through the relationship among previous citations, journal characteristics, the author and the text. Through a similarity matrix constructed by Latent Semantic Analysis (LSA), a similarity variable has been constructed to capture the fact that the texts have similar titles, abstracts and keywords to the most cited texts. The results show: i) joint significance of the variables selected to characterize the text; (ii) direct relationship of the citation with similarity of keywords, published in an IEEE journal, research article, more than one author; and authored by at least one foreign author; and iii) inverse relationship between the probability of citation with the similarity of abstracts, published in 2016 or 2017, and published in a Colombian journal.</t>
  </si>
  <si>
    <t>[Aguilera-Prado, Marco] Univ Agustiniana, Vice Rectorate Res, Bogota, Colombia; [Salcedo, Octavio] Univ Dist Francisco Jose de Caldas, Fac Engn, Bogota, Colombia; [Avendano Fernandez, Eduardo] Univ Pedag &amp; Tecnol Colombia, Fac Engn, Tunja, Colombia</t>
  </si>
  <si>
    <t>Aguilera-Prado, M (corresponding author), Univ Agustiniana, Vice Rectorate Res, Bogota, Colombia.</t>
  </si>
  <si>
    <t>marco.aguilera@uniagustiniana.edu.co; osalcedo@udistrital.edu.co; eduardo.avendano@uptc.edu.co</t>
  </si>
  <si>
    <t>Aguilera-Prado M, 2017, CONT ENG SCI, V10, P1279, DOI [10.12988/ces.2017.710150, DOI 10.12988/CES.2017.710150]; Berry MW, 1995, SIAM REV, V37, P573, DOI 10.1137/1037127; Boyack KW, 2011, PLOS ONE, V6, DOI 10.1371/journal.pone.0018029; Chaviano Orlando Gregorio, 2007, Signo pensam., P22; Chen LT, 2019, J ASSOC INF SYST, V20, P1023, DOI 10.17705/1jais.00561; DEERWESTER S, 1990, J AM SOC INFORM SCI, V41, P391, DOI 10.1002/(SICI)1097-4571(199009)41:6&lt;391::AID-ASI1&gt;3.0.CO;2-9; Gutierrez M. R, 2005, SIGNOS, V38, P303; Kulkarni SS, 2014, DECISION SCI, V45, P971, DOI 10.1111/deci.12095; Landauer TK, 1997, PSYCHOL REV, V104, P211, DOI 10.1037/0033-295X.104.2.211; Rivera-Garzon DM, 2008, UNIV PSYCHOL, V7, P917; Mingers J, 2015, EUR J OPER RES, V246, P1, DOI 10.1016/j.ejor.2015.04.002; Rincon H., 2018, CONT ENG SCI, V11, P3873; Rojas-Sola JI, 2010, DYNA-COLOMBIA, V77, P9; Schwarz C, 2019, STATA J, V19, P129, DOI 10.1177/1536867X19830910; Suárez Jorge Oswaldo, 2012, Infect., V16, P166; Tahamtan I, 2016, SCIENTOMETRICS, V107, P1195, DOI 10.1007/s11192-016-1889-2; Yang J, 2021, INT J HUM RESOUR MAN, V32, P2070, DOI [10.1080/09585192.2019.1579253, 10.1145/3318396.3318397]</t>
  </si>
  <si>
    <t>INST INFORMATION &amp; COMMUNICATION TECHNOLOGIES-BULGARIAN ACAD SCIENCES</t>
  </si>
  <si>
    <t>2, ACAD G BONCHEV, SOFIA, 1113, BULGARIA</t>
  </si>
  <si>
    <t>1311-9702</t>
  </si>
  <si>
    <t>1314-4081</t>
  </si>
  <si>
    <t>CYBERN INF TECHNOL</t>
  </si>
  <si>
    <t>Cybern. Inf. Technol.</t>
  </si>
  <si>
    <t>MAR 1</t>
  </si>
  <si>
    <t>10.2478/cait-2022-0006</t>
  </si>
  <si>
    <t>Computer Science, Information Systems</t>
  </si>
  <si>
    <t>0J3MK</t>
  </si>
  <si>
    <t>WOS:000780009500006</t>
  </si>
  <si>
    <t>Belanger, G; Pukhov, A; Yaguna, CE; Zapata, O</t>
  </si>
  <si>
    <t>Belanger, Genevieve; Pukhov, Alexander; Yaguna, Carlos E.; Zapata, Oscar</t>
  </si>
  <si>
    <t>The Z(7) model of three-component scalar dark matter</t>
  </si>
  <si>
    <t>JOURNAL OF HIGH ENERGY PHYSICS</t>
  </si>
  <si>
    <t>Models for Dark Matter; Particle Nature of Dark Matter</t>
  </si>
  <si>
    <t>We investigate, for the first time, a scenario where the dark matter consists of three complex scalar fields that are stabilized by a single Z(7) symmetry. As an extension of the well-known scalar Higgs-portal, this Z(7) model is also subject to important restrictions arising from the relic density constraint and from direct detection experiments. Our goal in this paper is to find and characterize the viable regions of this model, and to analyze its detection prospects in future experiments. First, the processes that affect the relic densities are identified (they include semiannihilations and conversions) and then incorporated into the Boltzmann equations for the dark matter abundances, which are numerically solved with micrOMEGAs. By means of random scans of the parameter space, the regions consistent with current data, including the recent direct detection limit from the LZ experiment, are selected. Our results reveal that the Z(7) model is indeed viable over a wide range of dark matter masses and that both conversions and semiannihilations play an important role in determining the relic densities. Remarkably, we find that in many cases all three of the dark matter particles give rise to observable signals in future direct detection experiments, providing a suitable way to test this scenario.</t>
  </si>
  <si>
    <t>[Belanger, Genevieve] USMB, LAPTh, CNRS, 9 Chemin Bellevue, F-74940 Annecy, France; [Pukhov, Alexander] Moscow MV Lomonosov State Univ, Skobeltsyn Inst Nucl Phys, Moscow 119992, Russia; [Yaguna, Carlos E.] Univ Pedag &amp; Tecnol Colombia, Escuela Fis, Ave Cent Norte 39-115, Tunja, Colombia; [Zapata, Oscar] Univ Antioquia, Inst Fis, Calle 70,52-21, Apartado Aereo 1226, Medellin, Colombia</t>
  </si>
  <si>
    <t>Centre National de la Recherche Scientifique (CNRS); Universite de Savoie; Lomonosov Moscow State University; Universidad Pedagogica y Tecnologica de Colombia (UPTC); Universidad de Antioquia</t>
  </si>
  <si>
    <t>Belanger, G (corresponding author), USMB, LAPTh, CNRS, 9 Chemin Bellevue, F-74940 Annecy, France.</t>
  </si>
  <si>
    <t>belanger@lapth.cnrs.fr; alexander.pukhov@gmail.com; carlos.yaguna@uptc.edu.co; oalberto.zapata@udea.edu.co</t>
  </si>
  <si>
    <t>Patrimonio Autonomo - Fondo Nacional de Financiamiento para la Ciencia, la Tecnologia y la Innovacion Francisco Jose de Caldas (MinCiencias - Colombia) [82315-2021-1080]; MinCiencias [80740-492-2021]; Sostenibilidad-UdeA; UdeA/CODI [2020-33177]; ICTP through the Associates Programe; scientific program Particle Physics and Cosmology of the Russian National Center for Physics and Mathematics</t>
  </si>
  <si>
    <t>Patrimonio Autonomo - Fondo Nacional de Financiamiento para la Ciencia, la Tecnologia y la Innovacion Francisco Jose de Caldas (MinCiencias - Colombia); MinCiencias; Sostenibilidad-UdeA; UdeA/CODI; ICTP through the Associates Programe; scientific program Particle Physics and Cosmology of the Russian National Center for Physics and Mathematics</t>
  </si>
  <si>
    <t>OZ and CY received funding from the Patrimonio Autonomo - Fondo Nacional de Financiamiento para la Ciencia, la Tecnologia y la Innovacion Francisco Jose de Caldas (MinCiencias - Colombia) grant 82315-2021-1080. OZ has received further funding from MinCiencias through the Grant 80740-492-2021, and has been partially supported by Sostenibilidad-UdeA and the UdeA/CODI Grant 2020-33177. CY would like to acknowledge support from the ICTP through the Associates Programe (2020-2025). The work of AP was carried out within the scientific program Particle Physics and Cosmology of the Russian National Center for Physics and Mathematics.</t>
  </si>
  <si>
    <t>Aalbers J., ARXIV; Aalbers J., 2016, J COSMOL ASTROPART P, V2016, DOI [10.1088/1475-7516/2016/11/017, DOI 10.1088/1475-7516/2016/11/017]; Aghanim N, 2020, ASTRON ASTROPHYS, V641, DOI 10.1051/0004-6361/201833910; Ahmed A, 2018, EUR PHYS J C, V78, DOI 10.1140/epjc/s10052-018-6371-2; Alguero G, 2022, SCIPOST PHYS, V13, DOI 10.21468/SciPostPhys.13.6.124; Arcadi G, 2018, EUR PHYS J C, V78, DOI 10.1140/epjc/s10052-018-5662-y; Arcadi G, 2016, J HIGH ENERGY PHYS, DOI 10.1007/JHEP12(2016)081; Ayazi SY, 2019, EUR PHYS J C, V79, DOI 10.1140/epjc/s10052-019-6651-5; Banik AD, 2021, PHYS REV D, V103, DOI 10.1103/PhysRevD.103.075001; Barger V, 2009, PHYS REV D, V79, DOI 10.1103/PhysRevD.79.015018; Beneito ABI, 2022, J HIGH ENERGY PHYS, DOI 10.1007/JHEP10(2022)075; Batell B, 2011, PHYS REV D, V83, DOI 10.1103/PhysRevD.83.035006; Belanger G, 2022, PHYS REV D, V105, DOI 10.1103/PhysRevD.105.035018; Belanger G, 2021, EUR PHYS J C, V81, DOI 10.1140/epjc/s10052-021-09012-z; Belanger G, 2015, COMPUT PHYS COMMUN, V192, P322, DOI 10.1016/j.cpc.2015.03.003; Belanger G., MICROMEGAS6 UNPUB; Belanger G, 2020, J HIGH ENERGY PHYS, DOI 10.1007/JHEP09(2020)030; Belanger G, 2014, J COSMOL ASTROPART P, DOI 10.1088/1475-7516/2014/06/021; Belanger G, 2012, J COSMOL ASTROPART P, DOI 10.1088/1475-7516/2012/04/010; Belanger G, 2012, J COSMOL ASTROPART P, DOI 10.1088/1475-7516/2012/03/038; Bernal N, 2019, PHYS REV D, V99, DOI 10.1103/PhysRevD.99.015038; Bertone G, 2005, PHYS REP, V405, P279, DOI 10.1016/j.physrep.2004.08.031; Betancur A, 2021, NUCL PHYS B, V962, DOI 10.1016/j.nuclphysb.2020.115276; Bhattacharya S, 2022, J HIGH ENERGY PHYS, DOI 10.1007/JHEP12(2022)049; Bhattacharya S, 2019, J HIGH ENERGY PHYS, DOI 10.1007/JHEP02(2019)059; Bhattacharya S, 2017, J HIGH ENERGY PHYS, DOI 10.1007/JHEP10(2017)088; Bhattacharya S, 2017, J COSMOL ASTROPART P, DOI 10.1088/1475-7516/2017/04/043; Biswas A, 2015, J HIGH ENERGY PHYS, DOI 10.1007/JHEP04(2015)065; Boehm C, 2004, PHYS REV D, V69, DOI 10.1103/PhysRevD.69.101302; Borah D, 2019, PHYS REV D, V100, DOI 10.1103/PhysRevD.100.055027; Burgess CP, 2001, NUCL PHYS B, V619, P709, DOI 10.1016/S0550-3213(01)00513-2; Cai Y, 2016, J HIGH ENERGY PHYS, DOI 10.1007/JHEP01(2016)087; Cao QH, 2007, Arxiv; Chakrabarty N, 2022, PHYS REV D, V105, DOI 10.1103/PhysRevD.105.115010; Choi SM, 2021, J HIGH ENERGY PHYS, DOI 10.1007/JHEP09(2021)028; Chulia SC, 2022, J HIGH ENERGY PHYS, DOI 10.1007/JHEP10(2022)080; D'Eramo F, 2010, J HIGH ENERGY PHYS, DOI 10.1007/JHEP06(2010)109; Das A, 2022, PHYS LETT B, V829, DOI 10.1016/j.physletb.2022.137117; Elahi F, 2019, PHYS REV D, V100, DOI 10.1103/PhysRevD.100.015019; ELLIS J, 1984, NUCL PHYS B, V238, P453, DOI 10.1016/0550-3213(84)90461-9; Esch S, 2014, J HIGH ENERGY PHYS, DOI 10.1007/JHEP09(2014)108; Hall E, 2022, PHYS REV D, V106, DOI 10.1103/PhysRevD.106.075008; Hall Eleanor, 2023, PHYS REV D, V107; Hambye T, 2009, J HIGH ENERGY PHYS, DOI 10.1088/1126-6708/2009/01/028; Hambye T, 2010, PHYS LETT B, V683, P39, DOI 10.1016/j.physletb.2009.11.050; Hernandez-Sanchez J, 2020, Arxiv; Hernandez-Sanchez J., ARXIV; Ho SY, 2022, J HIGH ENERGY PHYS, DOI 10.1007/JHEP03(2022)005; Hur T, 2008, PHYS REV D, V77, DOI 10.1103/PhysRevD.77.015008; Ivanov IP, 2012, PHYS REV D, V86, DOI 10.1103/PhysRevD.86.016004; Jungman G, 1996, PHYS REP, V267, P195, DOI 10.1016/0370-1573(95)00058-5; Lee HS, 2008, PHYS LETT B, V663, P255, DOI 10.1016/j.physletb.2008.03.065; Liu ZP, 2011, EUR PHYS J C, V71, DOI 10.1140/epjc/s10052-011-1749-4; Ma Ernest, 2006, Annales de la Fondation Louis de Broglie, V31, P285; MCDONALD J, 1994, PHYS REV D, V50, P3637, DOI 10.1103/PhysRevD.50.3637; Modak KP, 2015, J COSMOL ASTROPART P, DOI 10.1088/1475-7516/2015/03/011; Mohamadnejad A, 2022, J HIGH ENERGY PHYS, DOI 10.1007/JHEP03(2022)188; Nanda D, 2020, EUR PHYS J C, V80, DOI 10.1140/epjc/s10052-020-8122-4; Patt B., 2006, HIGGS FIELD PORTAL H; Poulin A, 2019, PHYS REV D, V99, DOI 10.1103/PhysRevD.99.076008; Profumo S, 2009, J COSMOL ASTROPART P, DOI 10.1088/1475-7516/2009/12/016; Roszkowski L, 2018, REP PROG PHYS, V81, DOI 10.1088/1361-6633/aab913; Saez BD, 2021, J HIGH ENERGY PHYS, DOI 10.1007/JHEP10(2021)233; SILVEIRA V, 1985, PHYS LETT B, V161, P136, DOI 10.1016/0370-2693(85)90624-0; Yaguna CE, 2022, PHYS REV D, V105, DOI 10.1103/PhysRevD.105.095026; Yaguna CE, 2021, J HIGH ENERGY PHYS, DOI 10.1007/JHEP10(2021)185; Yaguna CE, 2020, J HIGH ENERGY PHYS, DOI 10.1007/JHEP03(2020)109; Zurek KM, 2009, PHYS REV D, V79, DOI 10.1103/PhysRevD.79.115002</t>
  </si>
  <si>
    <t>1029-8479</t>
  </si>
  <si>
    <t>J HIGH ENERGY PHYS</t>
  </si>
  <si>
    <t>J. High Energy Phys.</t>
  </si>
  <si>
    <t>10.1007/JHEP03(2023)100</t>
  </si>
  <si>
    <t>Physics, Particles &amp; Fields</t>
  </si>
  <si>
    <t>A0OF5</t>
  </si>
  <si>
    <t>WOS:000952202500001</t>
  </si>
  <si>
    <t>Sanabria, C; Florez, D; Piquet, H; Diez, R</t>
  </si>
  <si>
    <t>Sanabria, Camilo; Florez, David; Piquet, Hubert; Diez, Rafael</t>
  </si>
  <si>
    <t>Sizing Equations for a Square Voltage Pulse Power Supply for Dielectric Barrier Discharges</t>
  </si>
  <si>
    <t>IEEE TRANSACTIONS ON POWER ELECTRONICS</t>
  </si>
  <si>
    <t>Discharges (electric); Plasmas; Power supplies; Mathematical models; Inverters; Transformers; Power transformer insulation; Circuit analysis; dielectric barrier discharges (DBD); power supplies; pulsed power systems</t>
  </si>
  <si>
    <t>RESONANT INVERTER; DBD LAMP; GENERATOR; IDENTIFICATION; EFFICIENCY; EXCILAMPS; UNIPOLAR; DESIGN; MODEL</t>
  </si>
  <si>
    <t>This article presents an analysis of the full-bridge voltage inverter widely used to supply dielectric barrier discharges. The main contribution of this article is the deduction of the analytical equations for the delivered power, peak voltage, and duration of the discharge as a function of the dc input voltage and of the switching frequency, but also as a function of the parasitic elements of the transformer and the parameters of the DBD load. To date, these equations are not found in the literature and are useful to design a power converter complying with specifications derived from plasma process requirements. The state plane is used to understand the different sub-intervals taking place in an entire switching period. The equations are verified using a simple example of design, which implementation accurately obeys the sizing equations, and provide the expected performances.</t>
  </si>
  <si>
    <t>[Sanabria, Camilo] Pontificia Univ Javeriana, Bogota 110231, Colombia; [Sanabria, Camilo] Univ Pedag &amp; Tecnol Colombia, Res Grp LIRA, Sogamoso 150003, Colombia; [Sanabria, Camilo; Piquet, Hubert] Univ Toulouse, CNRS, LAPLACE Lab, F-31071 Toulouse, France; [Florez, David] Univ Sergio Arboleda, Escuela Ciencias Exactas &amp; Ingn, Bogota 110221, Colombia; [Diez, Rafael] Pontificia Univ Javeriana, Dept Elect Engn, Bogota 110231, Colombia</t>
  </si>
  <si>
    <t>Pontificia Universidad Javeriana; Universidad Pedagogica y Tecnologica de Colombia (UPTC); Universite de Toulouse; Universite Federale Toulouse Midi-Pyrenees (ComUE); Institut National Polytechnique de Toulouse; Centre National de la Recherche Scientifique (CNRS); University Sergio Arboleda; Pontificia Universidad Javeriana</t>
  </si>
  <si>
    <t>Sanabria, C (corresponding author), Pontificia Univ Javeriana, Bogota 110231, Colombia.;Sanabria, C (corresponding author), Univ Pedag &amp; Tecnol Colombia, Res Grp LIRA, Sogamoso 150003, Colombia.</t>
  </si>
  <si>
    <t>camilo.sanabria@javeriana.edu.co; david.florez@usa.edu.co; hubert.piquet@laplace.univ-tlse.fr; rdiez@javeriana.edu.co</t>
  </si>
  <si>
    <t>Piquet, Hubert/D-4396-2013</t>
  </si>
  <si>
    <t>Piquet, Hubert/0000-0002-3736-2676; Sanabria, Camilo/0000-0002-1102-3211; Florez, David/0000-0002-1666-1247</t>
  </si>
  <si>
    <t>Minciencias [294-2016]; French-Colombian Cooperation ECOSNord/Minciencias; Departamento de Boyaca Scholarship Program [779]</t>
  </si>
  <si>
    <t>Minciencias; French-Colombian Cooperation ECOSNord/Minciencias; Departamento de Boyaca Scholarship Program</t>
  </si>
  <si>
    <t>This work was supported in part by the Minciencias under Contract 294-2016, in part by the French-Colombian Cooperation ECOSNord/Minciencias, and in part by the Departamento de Boyaca Scholarship Program under Grant 779 for the Ph.D. studies of one of the authors. Recommended for publication by Associate Editor M. Ponce-Silva.</t>
  </si>
  <si>
    <t>Adamovich I, 2017, J PHYS D APPL PHYS, V50, DOI 10.1088/1361-6463/aa76f5; Lopez-Fernandez JA, 2015, IEEE T IND ELECTRON, V62, P2215, DOI 10.1109/TIE.2014.2352601; Bonnin X., 2013, P 15 EUR C POW EL AP, P1; Bonnin X, 2014, IEEE T POWER ELECTR, V29, P4261, DOI 10.1109/TPEL.2013.2295525; Cheron Y, COMMUTATION DOUCE CO; Diez R, 2007, EUR PHYS J-APPL PHYS, V37, P307, DOI 10.1051/epjap:2007017; Diez R, 2015, IEEE T PLASMA SCI, V43, P452, DOI 10.1109/TPS.2014.2370796; Diop Mame Andallah, 2020, Plasma, V3, P103, DOI 10.3390/plasma3030009; Dragonas FA, 2015, IEEE T IND APPL, V51, P3334, DOI 10.1109/TIA.2015.2409262; Florez D, 2018, IEEE T PLASMA SCI, V46, P140, DOI 10.1109/TPS.2017.2777835; Florez D, 2014, IEEE T IND APPL, V50, P86, DOI 10.1109/TIA.2013.2271216; Gopi S, 2013, INSTRUM SCI TECHNOL, V41, P651, DOI 10.1080/10739149.2013.821657; Hao SQ, 2016, IEEE T POWER ELECTR, V31, P8528, DOI 10.1109/TPEL.2016.2520953; Truong HT, 2021, AIP ADV, V11, DOI 10.1063/5.0033846; Huang SJ, 2014, IEEE INT SYMP CIRC S, P2433, DOI 10.1109/ISCAS.2014.6865664; Jakraktok I, 2018, INT ELECT ENG CONGR; Jin SS, 2021, IEEE T POWER ELECTR, V36, P10852, DOI 10.1109/TPEL.2021.3064957; Kane SN., 2016, J PHYS C SER, V755, P1, DOI [10.1088/1742-6596/755/1/012025, DOI 10.1088/1742-6596/755/1/012025, DOI 10.1088/1742-6596/755/1/011001]; Kogelschatz U, 2003, PLASMA CHEM PLASMA P, V23, P1, DOI 10.1023/A:1022470901385; Kolek J, 2018, 2018 14TH SELECTED ISSUES OF ELECTRICAL ENGINEERING AND ELECTRONICS (WZEE); Laroussi M, 2004, J APPL PHYS, V96, P3028, DOI 10.1063/1.1777392; Liu SH, 2001, J PHYS D APPL PHYS, V34, P1632, DOI 10.1088/0022-3727/34/11/312; Liu Y, 2019, IEEE T DIELECT EL IN, V26, P476, DOI 10.1109/TDEI.2018.007861; Lomaev MI, 2012, PROG QUANT ELECTRON, V36, P51, DOI 10.1016/j.pquantelec.2012.03.003; Lopez AM, 2013, IEEE T PLASMA SCI, V41, P2335, DOI 10.1109/TPS.2013.2273462; Meisser M, 2011, APPL POWER ELECT CO, P1180, DOI 10.1109/APEC.2011.5744743; Mi Y, 2018, IEEE T PLASMA SCI, V46, P2582, DOI 10.1109/TPS.2018.2841651; Moselhy M, 2003, J PHYS D APPL PHYS, V36, P2922, DOI 10.1088/0022-3727/36/23/009; Neretti G, 2019, ELECTRONICS-SWITZ, V8, DOI 10.3390/electronics8101137; ORUGANTI R, 1985, IEEE T IND APPL, V21, P1453, DOI 10.1109/TIA.1985.349602; Panousis E, 2009, IEEE T DIELECT EL IN, V16, P734, DOI 10.1109/TDEI.2009.5128513; Abkenar PP, 2020, IEEE T POWER ELECTR, V35, P8215, DOI 10.1109/TPEL.2019.2962972; Rueda V, 2018, IEEE IND APPLIC SOC; Rueda V, 2019, IEEE T IND APPL, V55, P6567, DOI 10.1109/TIA.2019.2933519; Samukawa S, 2012, J PHYS D APPL PHYS, V45, DOI 10.1088/0022-3727/45/25/253001; Schitz D., KNE ENERGY, V3, P456; Schoenbach KH, 2012, IEEE J QUANTUM ELECT, V48, P768, DOI 10.1109/JQE.2012.2185686; Shao T, 2016, IEEE T PLASMA SCI, V44, P2072, DOI 10.1109/TPS.2016.2537813; Sosnin EA, 2015, INSTRUM EXP TECH+, V58, P309, DOI 10.1134/S0020441215030124; Wang L., 2016, P 6 INT C POW EL SYS, P4; Wang RX, 2021, IEEE T PLASMA SCI, V49, P2210, DOI 10.1109/TPS.2021.3084601; Wang YG, 2018, IEEE T PLASMA SCI, V46, P3340, DOI 10.1109/TPS.2018.2844328; Wang YG, 2017, PLASMA SCI TECHNOL, V19, DOI 10.1088/2058-6272/aa6153; Wang YG, 2016, IEEE T PLASMA SCI, V44, P1933, DOI 10.1109/TPS.2016.2558519; You CQ, 2017, IEEE ENER CONV, P2232, DOI 10.1109/ECCE.2017.8096436; Yuan DK, 2018, OZONE-SCI ENG, V40, P494, DOI 10.1080/01919512.2018.1476127; Zhang XM, 2016, IEEE T PLASMA SCI, V44, P2288, DOI 10.1109/TPS.2016.2601246; Zouaghi A, 2017, IEEE T DIELECT EL IN, V24, P2314, DOI 10.1109/TDEI.2017.006505</t>
  </si>
  <si>
    <t>IEEE-INST ELECTRICAL ELECTRONICS ENGINEERS INC</t>
  </si>
  <si>
    <t>PISCATAWAY</t>
  </si>
  <si>
    <t>445 HOES LANE, PISCATAWAY, NJ 08855-4141 USA</t>
  </si>
  <si>
    <t>0885-8993</t>
  </si>
  <si>
    <t>1941-0107</t>
  </si>
  <si>
    <t>IEEE T POWER ELECTR</t>
  </si>
  <si>
    <t>IEEE Trans. Power Electron.</t>
  </si>
  <si>
    <t>10.1109/TPEL.2021.3122934</t>
  </si>
  <si>
    <t>Engineering, Electrical &amp; Electronic</t>
  </si>
  <si>
    <t>XU0JQ</t>
  </si>
  <si>
    <t>WOS:000733963100066</t>
  </si>
  <si>
    <t>Hastamorir, MAS; Garcia, PMA; Rojas-Sepulveda, CM</t>
  </si>
  <si>
    <t>Sanchez Hastamorir, Marlon A.; Arguello Garcia, Pedro M.; Rojas-Sepulveda, Claudia M.</t>
  </si>
  <si>
    <t>Social differentiation and living conditions in the Cercado Grande de los Santuarios (2350-450 B.P.), a political and ritual center in the Altiplano Cundiboyacense, Colombia</t>
  </si>
  <si>
    <t>LATIN AMERICAN ANTIQUITY</t>
  </si>
  <si>
    <t>Muisca chiefdoms; funerary patterns; physiological stress; physical activity</t>
  </si>
  <si>
    <t>STANDARDIZED SCORING METHOD; POROTIC HYPEROSTOSIS; CRIBRA ORBITALIA; AGE ESTIMATION; PHASE-ANALYSIS; PALEOEPIDEMIOLOGY; ENTHESES; PROPOSAL; DISEASE; RIB</t>
  </si>
  <si>
    <t>This study explores the archaeological manifestations of power and social differentiation between Muisca societies that inhabited the north of the Altiplano Cundiboyacense, central Colombia, described as hierarchical and inequitable groups by the Spanish during the sixteenth century. The relationship between social differentiation and living conditions of the people buried in the Cercado Grande de los Santuarios (Tunja), an important political and ritual center, are explored through indicators of social inequality, expressed by grave goods (presence or absence of vessels, composition) and artificial cranial modification, and through indicators of both physiological stress (porotic hyperostosis, cribra orbitalia, enamel hypoplasia, periosteal reaction) and physical activity (entheseal changes and degenerative joint disease). The results suggest that the population did not exhibit radical differences in their living conditions. These findings suggest that if social differentiation really existed, it was not accompanied by a distinction involving true privilege or separation of the dominant group from the tasks of daily life.</t>
  </si>
  <si>
    <t>[Sanchez Hastamorir, Marlon A.] Direcc Tecn Prospecc Recuperac &amp; Identificac, Unidad Busqueda Personas Dadas Desaparecidas, Bogota, Colombia; [Arguello Garcia, Pedro M.] Univ Pedag &amp; Tecnol Colombia, Escuela Ciencias Sociales, Tunja, Colombia; [Rojas-Sepulveda, Claudia M.] Univ Nacl Colombia, Dept Antropol, Bogota, Colombia</t>
  </si>
  <si>
    <t>Hastamorir, MAS (corresponding author), Direcc Tecn Prospecc Recuperac &amp; Identificac, Unidad Busqueda Personas Dadas Desaparecidas, Bogota, Colombia.</t>
  </si>
  <si>
    <t>msanchezh@ubpdbusquedadesaparecidos.co; pedro.argtello@uptc.edu.co; cmrojass@unal.edu.co</t>
  </si>
  <si>
    <t>Alvarez Bernardo., 2001, CHIBCHAS ADAPTACI N, P207; [Anonymous], 2018, YALE CLIMATE OPINION; Arg?ello P., 2016, ANTIPOD-REV ANTROPOL, V25, P143, DOI [10.7440/antipoda25.2016.07, DOI 10.7440/ANTIPODA25.2016.07]; Arguello Pedro., 2020, BOLET N ANTROPOLOG A, V35, P40; Arias J., ING CIENC; Armelagos GJ, 2009, EVOL ANTHROPOL, V18, P261, DOI 10.1002/evan.20239; Benitez Camilo., 2017, THESIS U PEDAGOGICA; Benjamin M, 2006, J ANAT, V208, P471, DOI 10.1111/j.1469-7580.2006.00540.x; Bernal Marcela, 2011, INFORME FINAL UNPUB; Boada A. M., 2006, PATRONES ASENTAMIENT; Boada AnaMaria., 2013, ENFOQUES ESCALA M LT; Boada AnaMaria., 1998, RECENT ADV ARCHAEOLO, P54; Boada AnaMaria., 1987, ASENTAMIENTOS INDIGE; Boada AnaMaria., 2009, EC A PRESTIGIO PODER, P272; Boada AnaMaria., 2007, EVOLUCION JERARQUIA; Boada R.A.M., 2018, LAT AM ANTIQ, V29, P660, DOI [10.1017/laq.2018.44, DOI 10.1017/LAQ.2018.44]; Boada Rivas A., 1995, B MUSEO ORO, V38/39, P135; Borja JaimeHumberto., 2002, INDIOS MEDIEVALES FR; Botiva A., 1989, COLOMBIA PREHISPANIC, P77; Brickley MB, 2018, AM J PHYS ANTHROPOL, V167, P896, DOI 10.1002/ajpa.23701; BRIDGES PS, 1992, ANNU REV ANTHROPOL, V21, P67; Brooks S, 1990, J HUM EVOL, V5, P227, DOI DOI 10.1007/BF02437238; Brothwell D., 1965, DIGGING BONES EXCAVA; Buikstra J., 1994, ARKANSAS ARCHEOLOGIC; Buikstra J. E., 2009, BIOARCHAEOLOGY CONTE; Calderon Diana., 2019, ARQUEOLOG A NUEVA ES, P95; Campillo D., 2001, INTRO PALEOPATOLOGIA; Cardenas Felipe, 1993, REV COLOMBIANA ANTRO, V30, P130; Castellanos Juan de, 1857, ELEGIAS VARONES ILUS; Castillo Neila., 1981, THESIS U NACL COLOMB; Chavez Alejandra., 2020, THESIS U PEDAGOGICA; Correal Gonzalo., 2010, TEMAS M DICOS, V18, P1; Drennan RD, 2009, INTERD CONTRIB ARCH, P3, DOI 10.1007/978-1-4419-0413-3_1; Dutour Olivier, 1992, Bulletins et Memoires de la Societe d'Anthropologie de Paris, V4, P233, DOI 10.3406/bmsap.1992.2319; Earle T., 1991, CHIEFDOMS POWER EC I, P1; Earle T.K., 1997, CHIEFS COME POWER PO; Fajardo B.S, 2016, THESIS U PITTSBURG; Falchetti AnaMaria., 1973, CUADERNOS ANTROPOLOG, V1; Felix Daniela., 2017, THESIS U PEDAGOGICA; Fernandez de Piedrahita Lucas., 1973, NOTICIA HIST CONQUIS; Gamble LH, 2001, AM ANTIQUITY, V66, P185, DOI 10.2307/2694605; Gamboa Jorge A., 2010, CACICAZGO MUISCA ANO; Geller P. L., 2005, INTERACTING DEAD PER, P81; Goodman A.H., 2002, BACKBONE HIST HLTH N, P11, DOI DOI 10.1017/CBO9780511549953.003; Goodman Alan., 1992, MASCA RES PAPERS SCI, V9, P51; Gregorio Hernndez de Alba, 1937, MITO GORANCHACHA EXC; HAWKEY DE, 1995, INT J OSTEOARCHAEOL, V5, P324, DOI 10.1002/oa.1390050403; Helena Pradilla, 1994, MUERTOS 900 AR UNPUB; Helena Pradilla, 1991, ESTUDIO ARQUEO UNPUB; Henderson CY, 2013, INT J OSTEOARCHAEOL, V23, P127, DOI 10.1002/oa.2298; Henderson H, 2005, J ANTHROPOL ARCHAEOL, V24, P148, DOI 10.1016/j.jaa.2005.01.002; Hernandez de Alba Gregorio., 1937, REV INDIAS, V7, P10; ISCAN MY, 1985, J FORENSIC SCI, V30, P853; ISCAN MY, 1984, J FORENSIC SCI, V29, P1094; Johnson Allen W, 2000, EVOLUTION HUMAN SOC; JURMAIN R, 1990, AM J PHYS ANTHROPOL, V83, P83, DOI 10.1002/ajpa.1330830110; Jurmain R., 2010, TERMINOLOGY ENTHESES; Kinaston R., 2019, ORTNERS IDENTIFICATI, P749, DOI [10.1016/B978-0-12-809738-0.00021-1, DOI 10.1016/B978-0-12-809738-0.00021-1]; Langebaek Carl., 2019, MUISCAS HIST MILENAR; Langebaek Carl., 2006, TIRAN A TIPOL GICA A, P215; Langebaek Carl., 1995, ARQUEOLOGIA REGIONAL; Langebaek Carl., 1992, NOTICIAS CACIQUES MU; Langebaek Carl., 2001, ARQUEOLOGIA REGIONAL; Langebaek Carl., 2008, MUISCAS CONQUISTA ES, P64; Langebaek Rueda Carl Henrik, 2015, Rev. colomb. antropol., V51, P173; Larsen CS, 2002, J ARCHAEOL RES, V10, P119, DOI 10.1023/A:1015267705803; LARSEN CS, 1999, BIOARCHAEOLOGY INTER; Lemus Lorena., 2018, THESIS U ANDES BOGOT; Lleras Roberto., 2009, BOLET N ANTROPOLOG A, V23, P169; Londono Eduardo., 1985, THESIS U ANDES BOGOT; LOVEJOY CO, 1985, AM J PHYS ANTHROPOL, V68, P15, DOI 10.1002/ajpa.1330680103; Lull V, 2000, ANTIQUITY, V74, P576, DOI 10.1017/S0003598X00059937; Mariotti V, 2004, COLLEGIUM ANTROPOL, V28, P145; Mariotti V, 2007, COLLEGIUM ANTROPOL, V31, P291; Martinez Igor., 2005, REV ESTUDIANTES ARQU, V3, P39; Marulanda Catherine., 2020, THESIS ESCUELA NACL; Marzal J. J., 2015, THESIS U ANDES BOGOT; McIlvaine BK, 2015, INT J OSTEOARCHAEOL, V25, P997, DOI 10.1002/oa.2383; Mendoza Luisa., 2015, THESIS U ANDES BOGOT; Rojas-Sepulveda CM, 2014, CHUNGARA, V46, P153, DOI 10.4067/S0717-73562014000100010; NATHAN H, 1962, J BONE JOINT SURG AM, V44, P243, DOI 10.2106/00004623-196244020-00003; Ortner DJ, 2003, IDENTIFICATION PATHO; Oxenham MF, 2010, ANTHROPOL SCI, V118, P199, DOI 10.1537/ase.100302; Parker-Pearson M, 1999, ARCHAEOLOGY DEATH BU; Pedro Argello, 2016, INFORME PRESENTADO M; Pradilla Helena., 2001, CHIBCHAS ADAPTACI N, P165; Pradilla Helena., 1992, BOLET N MUSEO ORO, V32, P21; Quinn CP, 2016, OPEN ARCHAEOL, V2, P18, DOI 10.1515/opar-2016-0002; Rakita G. F. M., 2005, INTERACTING DEAD PER, P1; Ramirez Maria., 2020, THESIS U CALDAS MANI; Ramos Daniela., 2018, THESIS U PEDAGOGICA; Reichel-Dolmatoff G., 1986, ARQUEOLOGIA COLOMBIA; Reichel-Dolmatoff G., 1965, COLOMBIA; Rodriguez Jose Vicente, 2006, ENFERMEDADES CONDICI; Rodriguez JoseV., 2011, CHIBCHAS HIJOS SOL L; Rodriguez JoseV., 2001, CHIBCHAS ADAPTACIONE; Rodriguez JoseV., 2011, MAGUAR, V25, P145; Rodriguez JoseV., 1994, MAGUAR, V10, P7; ROGERS J, 1987, J ARCHAEOL SCI, V14, P179, DOI 10.1016/0305-4403(87)90005-7; Rojas-Sepulveda C, 2008, AM J PHYS ANTHROPOL, V135, P416, DOI 10.1002/ajpa.20762; Rojas-Sepulveda Claudia., 2019, BIOLOGICAL ANTHR LAT, P217; Rothschild BM, 1997, AM J PHYS ANTHROPOL, V104, P529, DOI 10.1002/(SICI)1096-8644(199712)104:4&lt;529::AID-AJPA7&gt;3.0.CO;2-M; Santa, 2011, INDIANA, V28, P15; Santos Ana L., 2010, COIMBR WORKSH MUSC S; Scheuer L., 2000, DEV JUVENILE OSTEOLO; Schultz M, 1998, DENTAL ANTHROPOLOGY, P293; Simmer J P, 2001, J Dent Educ, V65, P896; Simon Fray Pedro., 1981, NOTICIAS HIST CONQUI; Sofaer Joanna., 2006, BODY MAT CULTURE THE; Steckel RH, 2019, CAM S BIO EVOL ANTHR, V80, P397; Therrien, 2000, SOCIEDADES COMPLEJAS, P21; Torres Luis., 2018, THESIS U PEDAGOGICA; Tovar Hermes., 1988, NO HAY CACIQUES NI S, P166; Tovar Hermes., 1980, FORMACION SOCIAL CHI; VILLAMARIN J, 1999, CAMBRIDGE HIST NATIV, V3, P577, DOI DOI 10.1017/CH0L9780521630757.009; Villate German., 2001, TUNJA PREHISPANICA E; Waldron T., 1995, FIELD GUIDE JOINT DI; Waldron T., 1994, COUNTING DEAD EPIDEM; Walker PL, 2009, AM J PHYS ANTHROPOL, V139, P109, DOI 10.1002/ajpa.21031; White T.D, 2011, HUMAN OSTEOLOGY, V3rd</t>
  </si>
  <si>
    <t>32 AVENUE OF THE AMERICAS, NEW YORK, NY 10013-2473 USA</t>
  </si>
  <si>
    <t>1045-6635</t>
  </si>
  <si>
    <t>2325-5080</t>
  </si>
  <si>
    <t>LAT AM ANTIQ</t>
  </si>
  <si>
    <t>Lat. Am. Antiq.</t>
  </si>
  <si>
    <t>2022 JUN 1</t>
  </si>
  <si>
    <t>10.1017/laq.2022.41</t>
  </si>
  <si>
    <t>Anthropology; Archaeology</t>
  </si>
  <si>
    <t>1S0AV</t>
  </si>
  <si>
    <t>WOS:000803723400001</t>
  </si>
  <si>
    <t>Suarez, OJ; Suarez-Riveros, LD; Lizarazo-Osorio, JD</t>
  </si>
  <si>
    <t>Suarez, Oscar Jardey; Suarez-Riveros, Lilian Daniela; Lizarazo-Osorio, Julio del Carmen</t>
  </si>
  <si>
    <t>Factors intrinsic to work overload in teacher stress</t>
  </si>
  <si>
    <t>mental stress; teaching profession; pandemic; psychological factors</t>
  </si>
  <si>
    <t>The objective of this study was to find the factors intrinsic to work stress of active teachers in Colombia, Mexico, and Peru, other than work overload (WO). In addition, it aimed to establish, with an unsupervised model, how the identified factors predict WO. The approach was mainly quantitative, supported by principal component analysis and linear regression by introduction, to build the model. The instrument examined the categories: work emotions, work requirements, work resources, burnout, and technological resources for the work activity. The results show an overall alpha of 0.856. Ten intrinsic factors were obtained that explain 71.331% of the variance, of which six contribute to predict WO: work at home, social support, technological didactic resilience, student motivation, emotional self-control, and job uncertainty. In conclusion, it was found that teachers had the technological and didactic capacity for resilience, which allowed them to adapt to remote presence; and that collaborative work among teachers contributes to reduce academic stress due to WO. However, job uncertainty has an impact on WO.</t>
  </si>
  <si>
    <t>[Suarez, Oscar Jardey] Univ Autonoma Colombia, Bogota, Colombia; [Suarez-Riveros, Lilian Daniela] Escuela Colombiana Ingn Julio Garavitoa, Bogota, Colombia; [Lizarazo-Osorio, Julio del Carmen] Univ Pedag &amp; Tecnol Colombia, Boyaca, Colombia</t>
  </si>
  <si>
    <t>Universidad Autonoma Latinoamericana; Universidad Pedagogica y Tecnologica de Colombia (UPTC)</t>
  </si>
  <si>
    <t>Suarez, OJ (corresponding author), Univ Autonoma Colombia, Bogota, Colombia.</t>
  </si>
  <si>
    <t>oscar.jardey.suarez@gmail.com</t>
  </si>
  <si>
    <t>SUAREZ, OSCAR JARDEY/0000-0001-8780-595X</t>
  </si>
  <si>
    <t>Alvites-Huamaní Cleofé Genoveva, 2019, Propós. represent., V7, P141, DOI 10.20511/pyr2019.v7n3.393; Atará-Piraquive Angela Patricia, 2022, Rev. Investig. Innov. Cienc. Salud, V4, P4, DOI 10.46634/riics.131; Ayuso-Marente J., 2006, REV IBEROAM EDUC, V39, P1, DOI [https://doi.org/10.35362/rie3932575, DOI 10.35362/RIE3932575]; Caceres-Correa I., 2021, UTOPIA PRAXIS LATINO, V26, P11; Cardozo Gutierrez¹ Luis Adrian, 2016, Revista de Psicologia, V0, P75; Castellanos-Paez V., 2022, PRAX SABER, V13, DOI 10.19053; Cepal &amp; Unesco, 2020, ED TIEMP PAND COVID; Chen B, 2022, TEACH TEACH EDUC, V119, DOI 10.1016/j.tate.2022.103857; Cladellas-Pros Ramón, 2018, Rev. salud pública, V20, P53, DOI [10.15446/rsap.v20n1.53569, 10.15446/rsap.V20n1.53569]; Congreso de la Republica de Colombia, 2012, LEY 1581 2012 CUAL S; Cronbach LJ, 1951, PSYCHOMETRIKA, V16, P297; Diaz V., 2012, REV SOCIOLOGIA, V97, P193, DOI [https://doi.org/10.5565/rev/papers/v97n1.71, DOI 10.5565/REV/PAPERS/V97N1.71]; Frias-Navarro D., 2020, APUNTES CONSISTENCIA; Garcia I., 2017, REV ELECT TECNOLOGIA, V4, P1; Grupo Banco Mundial, 2020, COVID 19 IMP ED RESP; Hernandez R., 2014, METODOLOGIA INVESTIG, DOI DOI 10.17993/CCYLL.2018.15; Kim S, 2018, INT J ENV RES PUB HE, V15, DOI 10.3390/ijerph15122894; Lemos Mariantonia, 2019, Divers.: Perspect. Psicol., V15, P61, DOI 10.15332/s1794-9998.2019.0015.05; Arquero JL, 2013, REV CONTAB, V16, P94, DOI 10.1016/j.rcsar.2013.04.001; MacIntyre PD, 2020, SYSTEM, V94, DOI 10.1016/j.system.2020.102352; Martínez Royert Judith Cristina, 2017, Salud, Barranquilla, V33, P118; Martinez-Otero V., 2003, PULSO REV EDUCACION, V26, P9; Matabanchoy M., 2017, REV VIRTUAL CIENCIAS, V11, P37, DOI [10.25057/21452776.939, DOI 10.25057/21452776.939]; McMillan J., 2005, INVESTIGACION ED INT; Moreno-Jimenez B., 2010, ANSIEDAD ESTRES, V16, P293, DOI [10.13140/RG.2.1.2796.5602, DOI 10.13140/RG.2.1.2796.5602]; Moriana E., 2004, INT J CLIN HLTH PSYC, V4, P597; Mosleh SM, 2022, BMC MED EDUC, V22, DOI 10.1186/s12909-022-03496-3; Oviedo H.C., 2005, REV COLOMB PSIQUIATR, V34, P572, DOI DOI 10.1590/S1135-57272002000200001; Ozamiz-Etxebarria N., 2021, REV ESP SALUD PUBLIC, V95, P1; Rodríguez Ramírez José Andrés, 2017, IE Rev. investig. educ. REDIECH, V8, P45; Salazar F., 2021, REV EDUCACION DERECH, V1, P381, DOI 10.; Silvero M., 2007, ESTUD SOBRE EDUC, V12, P115; Solera E., 2017, UNIV PSYCHOL, V16, DOI [10.11144/Javeriana.upsy16-3.epsb, DOI 10.11144/JAVERIANA.UPSY16-3.EPSB]; Suarez O., 2020, ELEMENTOS CONSTRUCCI; Villarruel-Fuentes M., 2018, REV ESTUDIOS EXPERIE, V17, P113, DOI [10.21703/rexe.20181734mvillarruel5, DOI 10.21703/REXE.20181734MVILLARRUEL5]; Walpole R., 2007, PROBABILIDAD ESTADIS, V8a; Zavala J., 2008, EDUCACION, V17, P67; Zuniga-Jara Sergio, 2018, Inf. tecnol., V29, P171</t>
  </si>
  <si>
    <t>e14152</t>
  </si>
  <si>
    <t>10.19053/22160159.v13.n35.2022.14152</t>
  </si>
  <si>
    <t>WOS:000986286800010</t>
  </si>
  <si>
    <t>Higuera-Martinez, OI; Corazza, GE; Fernandez-Samaca, L</t>
  </si>
  <si>
    <t>Higuera-Martinez, Oscar Ivan; Corazza, Giovanni Emanuele; Fernandez-Samaca, Liliana</t>
  </si>
  <si>
    <t>PBL in the space-time continuum for engineering education</t>
  </si>
  <si>
    <t>EUROPEAN JOURNAL OF ENGINEERING EDUCATION</t>
  </si>
  <si>
    <t>ST-Continuum; creativity; engineering education; problem-based learning; project-based learning</t>
  </si>
  <si>
    <t>CREATIVITY; MODEL; STUDENTS</t>
  </si>
  <si>
    <t>This article presents how Problem- and Project-Based Learning (PBL) in engineering education can exploit the theoretical framework of the Space-Time (ST)-Continuum, according to which educational contexts can be classified in terms of the tightness vs. looseness of the relevant conceptual space S and available time T. By crossing these two dimensions, four quadrants are obtained in the ST-Continuum: tight space and tight time, loose space and tight time, tight space and loose time, loose space and loose time. Different pedagogies are adaptive to different quadrants. We show how PBL can be mapped onto the ST-Continuum depending on the context characteristics or the chosen problem or project. Further, this article discusses how the intelligence and creativity constructs can be developed through diverse educational scenarios, giving examples of PBL interventions that can be located in different quadrants. Moreover, the analysis shows how through suitable planning, it is possible to have educational activities that consider all the quadrants of the ST-Continuum, even in traditional education curricula or teacher-centered approaches. Finally, the article discusses how teaching practices can promote intelligence and creativity in the curricula at different PBL organisational levels depending on their relationship with the ST-Continuum.</t>
  </si>
  <si>
    <t>[Higuera-Martinez, Oscar Ivan; Fernandez-Samaca, Liliana] Univ Pedag &amp; Tecnol Colombia, Signal Proc Res Grp DSP UPTC, Sogamoso, Colombia; [Corazza, Giovanni Emanuele] Univ Bologna, DEI Marconi Inst Creat, Bologna, Italy; [Corazza, Giovanni Emanuele] Univ Paris Cite, LaPEA, Boulogne Billancourt, France; [Corazza, Giovanni Emanuele] Univ Gustave Eiffel, Boulogne Billancourt, France</t>
  </si>
  <si>
    <t>Universidad Pedagogica y Tecnologica de Colombia (UPTC); University of Bologna; UDICE-French Research Universities; Universite Paris Cite</t>
  </si>
  <si>
    <t>Higuera-Martinez, OI (corresponding author), Univ Pedag &amp; Tecnol Colombia, Signal Proc Res Grp DSP UPTC, Sogamoso, Colombia.</t>
  </si>
  <si>
    <t>oscar.higuera@uptc.edu.co</t>
  </si>
  <si>
    <t>Higuera-Martinez, Oscar Ivan/Q-5368-2017; Fernández-Samacá, Liliana/IAR-2581-2023</t>
  </si>
  <si>
    <t>Higuera-Martinez, Oscar Ivan/0000-0002-8683-0739; Fernández-Samacá, Liliana/0000-0003-1751-1563; CORAZZA, GIOVANNI EMANUELE/0000-0002-6898-4515</t>
  </si>
  <si>
    <t>Astutik S, 2018, INT J INSTR, V11, P409, DOI 10.12973/iji.2018.11426a; BARROWS HS, 1988, TUTORIAL PROCESS; Bourgeois-Bougrine S, 2015, PROC EUR CONF ENTREP, P90; Bruhl J.C., 2020, ASEE ANN C EXP C P; Chen HB, 2018, INT J ENG EDUC, V34, P329; Chen JB, 2021, EUR J ENG EDUC, V46, P90, DOI 10.1080/03043797.2020.1718615; Chen Shih-Yeh, 2022, International Journal of Electrical Engineering Education, V59, P232, DOI 10.1177/0020720919846808; Bravo LEC, 2018, COMM COM INF SC, V870, P168, DOI 10.1007/978-3-319-95522-3_15; Corazza, 2017, HDB RES CREATIVE PRO, P74, DOI [10.4018/978-1-5225-0643-0.ch004, DOI 10.4018/978-1-5225-0643-0.CH004]; Corazza G.E., 2021, J CREATIVITY, V31, DOI [10.1016/j.yjoc.2021.100003, DOI 10.1016/J.YJOC.2021.100003]; Corazza G.E., 2022, HOMOCREATIVUS 7 CS H, P49, DOI [10.1007/978-3-030-99674-1_4, DOI 10.1007/978-3-030-99674-1_4]; Corazza GE, 2021, J INTELL-BASEL, V9, DOI 10.3390/jintelligence9010001; Corazza GE, 2020, CREATIVITY RES J, V32, P81, DOI 10.1080/10400419.2020.1712161; Corazza GE, 2017, EUR J PSYCHOL, V13, P599, DOI 10.5964/ejop.v13i4.1547; Corazza GE, 2016, CREATIVITY RES J, V28, P258, DOI 10.1080/10400419.2016.1195627; Corazza Giovanni Emanuele., 2021, CREATIVITY LEARNING, P69, DOI [10.1007/978-3-030-77066-2_4, DOI 10.1007/978-3-030-77066-2_4]; Cropley DH, 2016, CREATIVITY TWENTY FI, P155, DOI 10.1007/978-981-287-618-8_10; Cropley DH., 2015, DESIGN STUD, V38, P54, DOI [10.1016/B978-0-12-800225-4.00014-8, DOI 10.1016/B978-0-12-800225-4.00014-8]; Du X., 2009, RES PBL PRACTICE ENG, DOI 10.1163/9789087909321; Dwikoranto, 2020, J PHYS CONF SER, V1491, DOI 10.1088/1742-6596/1491/1/012006; Fernandez-Samaca L., 2019, 11 INT S PROJECT APP, P109; Fernandez-Samaca L, 2021, INT J ENG EDUC, V37, P1274; Fernandez-Samaca L, 2017, INT J ENG EDUC, V33, P963; Fernández-Samacá Liliana, 2012, Sba Controle &amp; Automação, V23, P94, DOI 10.1590/S0103-17592012000100008; Garzon J, 2020, LECT NOTE NETW SYST, V112, P149, DOI 10.1007/978-3-030-40309-6_15; Glaveanu V, 2008, EUR J PSYCHOL, V4; Glaveanu VP, 2018, THINK SKILLS CREAT, V27, P25, DOI 10.1016/j.tsc.2017.11.006; Martinez OIH, 2021, EUR J ENG EDUC, V46, P1117, DOI 10.1080/03043797.2021.1974350; Higuera-Martinez O.I., 2020, ED FUT PBL SUST DIG, P410; Higuera-Martinez OI, 2022, IEEE GLOB ENG EDUC C, P285, DOI 10.1109/EDUCON52537.2022.9766511; Hultman E, 2019, IEEE GLOB ENG EDUC C, P107, DOI 10.1109/EDUCON.2019.8725198; KOLMOS A., 2009, RES PBL PRACTICE ENG, P9, DOI [10.1163/9789087909321_003, DOI 10.1163/9789087909321_003]; Kolmos A., 2007, MANAGEMENT CHANGE IM, P1, DOI DOI 10.1163/9789087900922_002; Kolmos A, 2016, INT J TECHNOL DES ED, V26, P391, DOI 10.1007/s10798-015-9319-y; Korkmaz, 2019, TRANDFORMATION PBL C; Kuo HC, 2022, IEEE T EDUC, V65, P124, DOI 10.1109/TE.2021.3098295; LaDuca B, 2017, INT J ENG PEDAGOG, V7, P34, DOI 10.3991/ijep.v7i1.6335; Lai E.R., 2012, ASSESSING 21 ST CENT; Leung E, 2018, PROC FRONT EDUC CONF; Li ZH, 2022, INT J SCI EDUC, V44, P463, DOI 10.1080/09500693.2022.2032863; Moesby, 2004, WORLD T ENG TECHNOLO, V3, P269; Murray Meg Coffin, 2015, International Journal of an Emerging Transdiscipline, V18, P111; Peteranetz MS, 2018, IEEE T EDUC, V61, P195, DOI 10.1109/TE.2018.2804350; Qattawi A, 2021, INT J MECH ENG EDUC, V49, P223, DOI 10.1177/0306419019882622; Ramirez C, 2020, LECT NOTE NETW SYST, V112, P258, DOI 10.1007/978-3-030-40309-6_25; Rodriguez J, 2015, ADV SPACE RES, V56, P1319, DOI 10.1016/j.asr.2015.07.003; Savin-Baden M, 2007, CHALLENGING MODELS P, P9, DOI DOI 10.1163/9789087900922_003; Sawyer R. K., 2012, EXPLAINING CREATIVIT; Sobirova, 2021, EUROPEAN J INNOVATIO, V1, P233; Torrisi S., 2019, E PDE 2019 NEW INNOV, P530, DOI [10.35199/epde2019.24, DOI 10.35199/EPDE2019.24]; Uden L., 2006, TECHNOLOGY PROBLEM B, DOI [https://doi.org/10.4018/978-1-59140-744-7, DOI 10.4018/978-1-59140-744-7]; Valentine A., 2018, INVESTIGATING SUITAB; Wendrich RE, 2016, J COMPUT INF SCI ENG, V16, DOI 10.1115/1.4033217; Wu TT, 2020, THINK SKILLS CREAT, V35, DOI 10.1016/j.tsc.2020.100631; Zaher AA, 2020, IEEE GLOB ENG EDUC C, P1752, DOI 10.1109/EDUCON45650.2020.9125367; Zhou CF, 2015, ADV INTELL SYST, V355, P1, DOI [10.1007/978-3-319-17398-6_1, 10.1109/VCIP.2015.7457843]; Zhou CF, 2012, EUR J ENG EDUC, V37, P488, DOI 10.1080/03043797.2012.714357; Zorro J.F., 2021, AUTOM TICA ROB TICA, P111, DOI [10.2307/j.ctv2d6jrr4.9, DOI 10.2307/J.CTV2D6JRR4.9]</t>
  </si>
  <si>
    <t>0304-3797</t>
  </si>
  <si>
    <t>1469-5898</t>
  </si>
  <si>
    <t>EUR J ENG EDUC</t>
  </si>
  <si>
    <t>Eur. J. Eng. Educ.</t>
  </si>
  <si>
    <t>NOV 2</t>
  </si>
  <si>
    <t>10.1080/03043797.2022.2149388</t>
  </si>
  <si>
    <t>9S3LA</t>
  </si>
  <si>
    <t>WOS:000889865400001</t>
  </si>
  <si>
    <t>Cuenu-Cabezas, F; Abonia, R; Castano, JAG</t>
  </si>
  <si>
    <t>Cuenu-Cabezas, Fernando; Abonia, Rodrigo; Gomez Castano, Jovanny A.</t>
  </si>
  <si>
    <t>Crystalline Derivatives of Dipyrazolo-1,5-diazocine and Dipyrazolopyrimidine: A Case of Unexpected Synthesis and Isostructural Polymorphism</t>
  </si>
  <si>
    <t>Schiff bases; polymorphism; 1; 5-diazocine; pyrazolopyrimidine; phenylmethanimines</t>
  </si>
  <si>
    <t>HIRSHFELD SURFACE-ANALYSIS; STRUCTURAL-CHARACTERIZATION; QUANTITATIVE-ANALYSIS; SCHIFF-BASES; CRYSTALEXPLORER; VISUALIZATION; ENERGIES</t>
  </si>
  <si>
    <t>Pyrazole-phenylmethanimines (Shiff bases), Py-N=CH-Ph, form molecular crystals whose supramolecular and self-assembly properties can be tuned according to the substitution made on the aromatic and pyrazole rings. In pursuit of the first pyrazole-pyridinemethanimine member, Py-N=CH-Pyr, by following the well-known synthetic scheme for these Shiff bases, two hitherto unknown crystalline derivatives of dipyrazolo-1,5-diazocine and dipyrazolopyrimidine were obtained instead, this depending on the use or not of acetic acid as the catalyst. 1,5-diazocine crystallizes in a single P-1 triclinic packing system (Z = 2, Z ' = 1), while dipyrazolopyrimidine exhibits isostructural dimorphic behavior by adopting two (pale pink and yellow) alike P2(1)/c monoclinic systems (both Z = 4, Z ' = 1) as a function of the solvent used. Crystal structures were resolved by means of X-ray diffraction technique and their intramolecular, intermolecular, and supramolecular assemblies analyzed with the assistance of decorated Hirshfeld surfaces and the topology study of electron density using the quantum-theory of atoms in molecules (QTAIM). Although both dipyrazolopyrimidine polymorphs are stabilized by the same type of noncovalent motifs, the pale pink crystal has a slightly more compact structure, with more efficient inter- and intramolecular interactions.</t>
  </si>
  <si>
    <t>[Cuenu-Cabezas, Fernando] Univ Quindio, Lab Quim Inorgan &amp; Catalisis, Programa Quim, Carrera 15 Calle 12 Norte, Armenia 630004, Colombia; [Abonia, Rodrigo] Univ Valle, Dept Quim, Grp Invest Compuestos Heterociclicos, Calle 13 100-00,AA 25360, Cali 76001, Colombia; [Gomez Castano, Jovanny A.] Univ Pedagog &amp; Tecnol Colombia UPTC, Grp Quim Fis Mol &amp; Modelamiento Comput QUIMOL, Fac Ciencias, Ave Cent Norte, Tunja 050030, Colombia</t>
  </si>
  <si>
    <t>Universidad del Quindio; Universidad del Valle; Universidad Pedagogica y Tecnologica de Colombia (UPTC)</t>
  </si>
  <si>
    <t>Cuenu-Cabezas, F (corresponding author), Univ Quindio, Lab Quim Inorgan &amp; Catalisis, Programa Quim, Carrera 15 Calle 12 Norte, Armenia 630004, Colombia.;Castano, JAG (corresponding author), Univ Pedagog &amp; Tecnol Colombia UPTC, Grp Quim Fis Mol &amp; Modelamiento Comput QUIMOL, Fac Ciencias, Ave Cent Norte, Tunja 050030, Colombia.</t>
  </si>
  <si>
    <t>fercuenu@uniquindio.edu.co; rodrigo.abonia@correounivalle.edu.co; jovanny.gomez@uptc.edu.co</t>
  </si>
  <si>
    <t>Gómez Castaño, Jovanny A./0000-0002-6654-1315; CUENU-CABEZAS, FERNANDO/0000-0003-2997-6720; ABONIA, RODRIGO/0000-0003-3256-0961</t>
  </si>
  <si>
    <t>Universidad del Quindio</t>
  </si>
  <si>
    <t>This research was funded by the Universidad del Quindio through the project 1050.</t>
  </si>
  <si>
    <t>[Anonymous], 2012, APEX2; [Anonymous], 2012, SAINT; Attaryan HS, 2013, RUSS J GEN CHEM+, V83, P1178, DOI 10.1134/S1070363213060352; BADER RFW, 1990, ATOM MOL QUANTUM THE; Biegler-Konig F, 2002, J COMPUT CHEM, V23, P1489, DOI 10.1002/jcc.10085; Borthakur SK, 2016, J HETEROCYCLIC CHEM, V53, P2079, DOI 10.1002/jhet.2479; Brandenburg K., 2006, CRYSTAL IMPACT, V102, P53227; Chen HY, 2019, J SOL-GEL SCI TECHN, V92, P723, DOI 10.1007/s10971-019-05134-9; Chigurupati S, 2017, PHARM CHEM J+, V50, P851, DOI 10.1007/s11094-017-1544-0; Cuenu F, 2019, J MOL STRUCT, V1184, P59, DOI 10.1016/j.molstruc.2019.02.004; Cuenu F, 2018, J MOL STRUCT, V1152, P163, DOI 10.1016/j.molstruc.2017.09.078; Dey D, 2016, CHEM COMMUN, V52, P2141, DOI 10.1039/c5cc09741j; Dolomanov OV, 2009, J APPL CRYSTALLOGR, V42, P339, DOI 10.1107/S0021889808042726; Fabian L, 1999, ACTA CRYSTALLOGR B, V55, P1099, DOI 10.1107/S0108768199009325; Feng C, 2018, J IRAN CHEM SOC, V15, P2871, DOI 10.1007/s13738-018-1473-1; Fernandez D, 2021, MOLECULES, V26, DOI 10.3390/molecules26247435; Frisch M., 2009, GAUSSIAN 09 PROGRAM; Jha KK, 2016, CRYSTENGCOMM, V18, P8497, DOI 10.1039/c6ce01501h; KALMAN A, 1993, ACTA CRYSTALLOGR B, V49, P1039, DOI 10.1107/S010876819300610X; Mackenzie CF, 2017, IUCRJ, V4, P575, DOI 10.1107/S205225251700848X; Macrae CF, 2008, J APPL CRYSTALLOGR, V41, P466, DOI 10.1107/S0021889807067908; McKinnon JJ, 2007, CHEM COMMUN, P3814, DOI 10.1039/b704980c; Molano MF, 2020, ACTA CRYSTALLOGR E, V76, P148, DOI 10.1107/S2056989019017213; More PG, 2014, MED CHEM RES, V23, P790, DOI 10.1007/s00044-013-0672-7; Moreno-Fuquen R, 2017, J MOL STRUCT, V1150, P366, DOI 10.1016/j.molstruc.2017.08.093; Negm NA, 2011, J SURFACTANTS DETERG, V14, P325, DOI 10.1007/s11743-011-1249-4; Novikov MS, 2002, RUSS J ORG CHEM+, V38, P672, DOI 10.1023/A:1019659021891; Rohlicek J, 2016, J APPL CRYSTALLOGR, V49, P2172, DOI 10.1107/S1600576716016058; Sheldrick GM, 2008, ACTA CRYSTALLOGR A, V64, P112, DOI 10.1107/S0108767307043930; Spackman MA, 2009, CRYSTENGCOMM, V11, P19, DOI 10.1039/b818330a; Spackman PR, 2021, J APPL CRYSTALLOGR, V54, P1006, DOI 10.1107/S1600576721002910; Thomas SP, 2018, AUST J CHEM, V71, P279; Turner MJ, 2011, CRYSTENGCOMM, V13, P1804, DOI 10.1039/c0ce00683a; Yang T, 2018, CATAL LETT, V148, P2382, DOI 10.1007/s10562-018-2412-6</t>
  </si>
  <si>
    <t>10.3390/cryst12050714</t>
  </si>
  <si>
    <t>1Q3KI</t>
  </si>
  <si>
    <t>WOS:000802590400001</t>
  </si>
  <si>
    <t>Portilla-Zuniga, O; Bautista-Aguilera, OM; Martinez, JJ; Rojas, H; Macias, MA; Iriepa, I; Perez-Redondo, A; Sathicq, A; Castillo, JC; Romanelli, GP</t>
  </si>
  <si>
    <t>Portilla-Zuniga, Omar; Bautista-Aguilera, Oscar M.; Martinez, Jose J.; Rojas, Hugo; Macias, Mario A.; Iriepa, Isabel; Perez-Redondo, Adrian; Sathicq, Angel; Castillo, Juan-Carlos; Romanelli, Gustavo P.</t>
  </si>
  <si>
    <t>Synthesis of N-Substituted Pyrroles Catalyzed by Low-Cost and Commercially Available Aluminas</t>
  </si>
  <si>
    <t>CATALYSTS</t>
  </si>
  <si>
    <t>pyrroles; aluminas; heterogeneous catalysis; Paal-Knorr reaction; green chemistry; X-ray crystallography</t>
  </si>
  <si>
    <t>ONE-POT SYNTHESIS; PAAL-KNORR SYNTHESIS; LEWIS-ACID CATALYST; HIGHLY EFFICIENT; 1,2,5-TRISUBSTITUTED PYRROLES; PRIMARY AMINES; CHLORIDE; SURFACE; SITES; CONDENSATION</t>
  </si>
  <si>
    <t>The Paal-Knorr reaction of acetonylacetone with primary amines catalyzed by CATAPAL 200 under conventional heating at 60 degrees C for 45 min afforded N-substituted pyrroles in 68-97% yields. The pyrrole 3g was studied by single-crystal and powder X-ray diffraction. The high percentage of Bronsted-Lewis acid sites (23%) and pore diameter (37.8 nm) of CATAPAL 200 favor the formation of the pyrrole ring because an increase in Bronsted acid sites efficiently catalyzes condensation and dehydration processes. This protocol is distinguished by its operational simplicity, high yields, reduced reaction time, no solvent required, stoichiometric amounts of reactants, low catalyst loading, and clean reaction profile. In addition, the CATAPAL 200 is cheap and commercially available leading to an efficient and lower-cost chemical transformation. The reusability of the catalyst for up to five cycles without appreciable loss of its catalytic activity makes the present protocol sustainable and advantageous compared to conventional methods.</t>
  </si>
  <si>
    <t>[Portilla-Zuniga, Omar; Sathicq, Angel; Romanelli, Gustavo P.] Univ Nacl La Plata, Ctr Invest &amp; Desarrollo Ciencias Aplicadas Dr Jor, CINDECA, CCT La Plata,CONICET,CIC,PBA, Calle 47 257,B1900AJK, La Plata, Argentina; [Bautista-Aguilera, Oscar M.; Iriepa, Isabel; Perez-Redondo, Adrian] Univ Alcala, Dept Quim Organ &amp; Quim Inorgan, Ctra Madrid Barcelona,Km 33,6, Madrid 28871, Spain; [Martinez, Jose J.; Rojas, Hugo; Castillo, Juan-Carlos] Univ Pedag &amp; Tecnol Colombia, Escuela Ciencias Quim, Ave Cent Norte 39-115, Tunja 150003, Colombia; [Macias, Mario A.] Univ Los Andes, Dept Chem, Crystallog &amp; Chem Mat, Carrera 1 18A-10, Bogota 111711, Colombia; [Iriepa, Isabel; Perez-Redondo, Adrian] Univ Alcala, Inst Chem Res Andres M Del Rio, Madrid 28805, Spain; [Romanelli, Gustavo P.] Univ Nacl La Plata, Fac Ciencias Agr &amp; Forestales, Ctr Invest San Vegetal CISaV, Catedra Quim Organ, Calles 60 &amp; 119 S-N,B1904AAN, La Plata, Argentina</t>
  </si>
  <si>
    <t>Consejo Nacional de Investigaciones Cientificas y Tecnicas (CONICET); National University of La Plata; Universidad de Alcala; Universidad Pedagogica y Tecnologica de Colombia (UPTC); Universidad de los Andes (Colombia); Universidad de Alcala; National University of La Plata</t>
  </si>
  <si>
    <t>Sathicq, A (corresponding author), Univ Nacl La Plata, Ctr Invest &amp; Desarrollo Ciencias Aplicadas Dr Jor, CINDECA, CCT La Plata,CONICET,CIC,PBA, Calle 47 257,B1900AJK, La Plata, Argentina.;Castillo, JC (corresponding author), Univ Pedag &amp; Tecnol Colombia, Escuela Ciencias Quim, Ave Cent Norte 39-115, Tunja 150003, Colombia.</t>
  </si>
  <si>
    <t>agsathicq@quimica.unlp.edu.ar; juan.castillo06@uptc.edu.co</t>
  </si>
  <si>
    <t>Martínez, José/G-1924-2018; Millán, Juan Castillo/AAM-5433-2020; Isabel, Iriepa/H-1915-2015</t>
  </si>
  <si>
    <t>Martínez, José/0000-0002-4906-7121; Millán, Juan Castillo/0000-0002-6060-2578; Isabel, Iriepa/0000-0003-3475-9624; Bautista, Oscar M/0000-0002-1327-1681</t>
  </si>
  <si>
    <t>Consejo Nacional de Investigaciones Cientificas y Tecnicas (CONICET)e [PIP 0111]</t>
  </si>
  <si>
    <t>Consejo Nacional de Investigaciones Cientificas y Tecnicas (CONICET)e(Consejo Nacional de Investigaciones Cientificas y Tecnicas (CONICET))</t>
  </si>
  <si>
    <t>This work was supported by the Consejo Nacional de Investigaciones Cientificas y Tecnicas CONICET (Funding number: PIP 0111).</t>
  </si>
  <si>
    <t>Abbat S, 2015, RSC ADV, V5, P88353, DOI 10.1039/c5ra16246g; Aghapoor K, 2018, RES CHEM INTERMEDIAT, V44, P4063, DOI 10.1007/s11164-018-3355-7; Aghapoor K, 2015, Z NATURFORSCH B, V70, P475, DOI 10.1515/znb-2014-0259; Aghapoor K, 2012, J ORGANOMET CHEM, V708, P25, DOI 10.1016/j.jorganchem.2012.02.008; Azizi N, 2009, SYNLETT, P2245, DOI 10.1055/s-0029-1217799; Balakrishna A, 2019, CATAL REV, V61, P84, DOI 10.1080/01614940.2018.1529932; Bharadwaj AR, 2004, ORG LETT, V6, P2465, DOI 10.1021/ol049044t; Bhardwaj V, 2015, RSC ADV, V5, P15233, DOI 10.1039/c4ra15710a; Bianco MDAD, 2021, PHARMACEUTICALS-BASE, V14, DOI 10.3390/ph14090893; BUCKLEY MMT, 1990, DRUGS, V39, P86, DOI 10.2165/00003495-199039010-00008; CANT NW, 1966, NATURE, V211, P69, DOI 10.1038/211069a0; Castillo JC, 2022, J MOL STRUCT, V1268, DOI 10.1016/j.molstruc.2022.133713; Chandra AK, 2005, J PHYS CHEM A, V109, P12006, DOI 10.1021/jp054123n; Chen JX, 2008, J BRAZIL CHEM SOC, V19, P877, DOI 10.1590/S0103-50532008000500011; Chen X, 2016, TETRAHEDRON LETT, V57, P5215, DOI 10.1016/j.tetlet.2016.10.029; Cheng P, 2013, J ORG CHEM, V78, P11860, DOI 10.1021/jo401892t; Clark PD, 2002, APPL CATAL A-GEN, V235, P61, DOI 10.1016/S0926-860X(02)00235-1; COSTER D, 1994, J PHYS CHEM-US, V98, P6201, DOI 10.1021/j100075a024; Darabi HR, 2012, ENVIRON CHEM LETT, V10, P5, DOI 10.1007/s10311-011-0321-7; De SK, 2008, HETEROATOM CHEM, V19, P592, DOI 10.1002/hc.20482; De SK, 2008, CATAL LETT, V124, P174, DOI 10.1007/s10562-008-9461-1; DESIRAJU GR, 1989, J AM CHEM SOC, V111, P8725, DOI 10.1021/ja00205a027; Eastman RT, 2020, ACS CENTRAL SCI, V6, P672, DOI 10.1021/acscentsci.0c00489; Estevez V, 2014, CHEM SOC REV, V43, P4633, DOI 10.1039/c3cs60015g; Farrugia LJ, 2012, J APPL CRYSTALLOGR, V45, P849, DOI 10.1107/S0021889812029111; Feng R, 2014, APPL PETROCHEM RES, V4, P367, DOI 10.1007/s13203-014-0073-y; Fu WR, 2022, J ORG CHEM, V87, P13389, DOI 10.1021/acs.joc.2c01646; Guthrie JP, 1996, J AM CHEM SOC, V118, P11472, DOI 10.1021/ja954247l; Ibrahim YA, 2022, J MOL STRUCT, V1252, DOI 10.1016/j.molstruc.2021.132123; Insuasty D, 2020, MOLECULES, V25, DOI 10.3390/molecules25030505; Iqbal S, 2020, CURR ORG CHEM, V24, P1196, DOI 10.2174/1385272824999200528125651; Joshi SD, 2016, EUR J MED CHEM, V107, P133, DOI 10.1016/j.ejmech.2015.10.047; Lea AP, 1997, DRUGS, V53, P828, DOI 10.2165/00003495-199753050-00011; Leonardi M, 2019, SYNTHESIS-STUTTGART, V51, P816, DOI 10.1055/s-0037-1610320; Li PC, 2016, CHINESE J ORG CHEM, V36, P364, DOI 10.6023/cjoc201505041; Li Petri G, 2020, EUR J MED CHEM, V208, DOI 10.1016/j.ejmech.2020.112783; Liu LC, 2018, CHEM REV, V118, P4981, DOI 10.1021/acs.chemrev.7b00776; Liu Y, 2018, J IRAN CHEM SOC, V15, P1033, DOI 10.1007/s13738-018-1300-8; Luo HT, 2008, HETEROATOM CHEM, V19, P144, DOI 10.1002/hc.20389; Magnus NA, 2006, ORG PROCESS RES DEV, V10, P899, DOI 10.1021/op060104f; Moran M, 2019, TARGET ONCOL, V14, P405, DOI 10.1007/s11523-019-00653-5; Motati DR, 2019, CURR TOP MED CHEM, V19, P1650, DOI 10.2174/1568026619666190717163959; Philkhana SC, 2021, SYNTHESIS-STUTTGART, V53, P1531, DOI 10.1055/s-0040-1706713; PITTMAN CU, 1980, J ORG CHEM, V45, P5048, DOI 10.1021/jo01313a007; Platts JA, 1996, CHEM COMMUN, P63, DOI 10.1039/cc9960000063; Portilla-Zuniga O, 2018, CATALYSTS, V8, DOI 10.3390/catal8100419; Qian KN, 1997, ENERG FUEL, V11, P596, DOI 10.1021/ef960204u; Rahmatpour A, 2012, J ORGANOMET CHEM, V712, P15, DOI 10.1016/j.jorganchem.2012.03.025; Rahmatpour A, 2011, APPL ORGANOMET CHEM, V25, P585, DOI 10.1002/aoc.1806; Rahmatpour A, 2011, HETEROATOM CHEM, V22, P85, DOI 10.1002/hc.20661; Salinas-Torres A, 2023, J MOL STRUCT, V1274, DOI 10.1016/j.molstruc.2022.134414; Sheldrick GM, 2015, ACTA CRYSTALLOGR A, V71, P3, DOI 10.1107/S2053273314026370; Sheldrick GM, 2015, ACTA CRYSTALLOGR C, V71, P3, DOI [10.1107/S0108767307043930, 10.1107/S2053229614024218]; Spackman MA, 2009, CRYSTENGCOMM, V11, P19, DOI 10.1039/b818330a; Srinivas R, 2012, CURR ORG CHEM, V16, P2482, DOI 10.2174/138527212803520182; Phung TK, 2014, APPL CATAL A-GEN, V483, P41, DOI 10.1016/j.apcata.2014.06.020; Torok B., 2021, HETEROGENEOUS CATALY, V1st ed., P491, DOI [10.1016/B978-0-12-817825-6.00011-2, DOI 10.1016/B978-0-12-817825-6.00011-2]; Trueba M, 2005, EUR J INORG CHEM, P3393, DOI 10.1002/ejic.200500348; Walia A, 2013, J ORG CHEM, V78, P10931, DOI 10.1021/jo401778e; Zhang L, 2017, J AM CHEM SOC, V139, P1714, DOI 10.1021/jacs.6b09634; Zhang ZH, 2008, ULTRASON SONOCHEM, V15, P673, DOI 10.1016/j.ultsonch.2008.02.008</t>
  </si>
  <si>
    <t>2073-4344</t>
  </si>
  <si>
    <t>Catalysts</t>
  </si>
  <si>
    <t>10.3390/catal13030603</t>
  </si>
  <si>
    <t>A8GR3</t>
  </si>
  <si>
    <t>WOS:000957452500001</t>
  </si>
  <si>
    <t>Avendano-Rodriguez, DF; Rodriguez-Baracaldo, R; Weber, S; Mujica-Roncery, L</t>
  </si>
  <si>
    <t>Avendano-Rodriguez, Diego Fernando; Rodriguez-Baracaldo, Rodolfo; Weber, Sebastian; Mujica-Roncery, Lais</t>
  </si>
  <si>
    <t>Damage Evolution and Microstructural Fracture Mechanisms Related to Volume Fraction and Martensite Distribution on Dual-Phase Steels</t>
  </si>
  <si>
    <t>damage evolution; dual-phase steels; fracture mechanisms; martensite volume fraction</t>
  </si>
  <si>
    <t>ELASTIC-MODULUS DEGRADATION; STRAIN-HARDENING BEHAVIOR; HIGH-STRENGTH STEELS; MORPHOLOGY; MICROMECHANISMS; QUANTIFICATION; DEFORMATION; PLASTICITY; TRANSFORMATION; DISLOCATIONS</t>
  </si>
  <si>
    <t>The scope of this work is the analysis of the damage evolution and microstructural fracture mechanisms of dual-phase steels through quasi-static uniaxial and cyclic tensile tests, considering the influence of the volume fraction and distribution of martensite. The samples are intercritically annealed at different temperatures to obtain three different martensite volume fractions (MVF). Damage evolution is evaluated as a function of stiffness loss. The steels show lower ductility and strength under cyclic loading conditions. The work hardening rate is affected by MVF in different stages of the deformation. A higher MVF is linked to a prompter damage evolution rate. The primary void nucleation mechanisms are ferrite-martensite and ferrite-ferrite decohesion. Martensite fracture can be activated depending on MVF and martensite distribution along the ferrite grain boundary. The dislocation density on grain boundaries is high due to the austenite-martensite transformation during the quenching process and subsequent plastic deformations. Dislocation density is related to stored strain energy, stress concentration, and the observed fracture mechanisms, particularly near martensite grains. Nanoindentation is conducted to evaluate the ferrite and martensite hardness, which depends on its carbon content. It is observed that the martensite/ferrite hardness ratio affects the uniform elongation of the material.</t>
  </si>
  <si>
    <t>[Avendano-Rodriguez, Diego Fernando; Rodriguez-Baracaldo, Rodolfo] Univ Nacl Colombia, Grp Innovac Proc Manufactura &amp; Ingn Mat IPMIM, Car 30 45-03, Bogota, Colombia; [Avendano-Rodriguez, Diego Fernando] Fdn Univ Amer, Grp Diseno Avanzado, Avda Circunvalar 20-53, Bogota, Colombia; [Weber, Sebastian] Ruhr Univ Bochum, Inst Werkstoffe, Lehrstuhl Werkstofftechn, D-44780 Bochum, Germany; [Mujica-Roncery, Lais] Univ Pedag &amp; Tecnol Colombia, Grp Invest Mat Siderurgicos &amp; INCITEMA, Ave Cent Norte 39-115, Boyaca, Colombia</t>
  </si>
  <si>
    <t>Universidad Nacional de Colombia; Ruhr University Bochum; Universidad Pedagogica y Tecnologica de Colombia (UPTC)</t>
  </si>
  <si>
    <t>Rodriguez-Baracaldo, R (corresponding author), Univ Nacl Colombia, Grp Innovac Proc Manufactura &amp; Ingn Mat IPMIM, Car 30 45-03, Bogota, Colombia.</t>
  </si>
  <si>
    <t>rodriguezba@unal.edu.co</t>
  </si>
  <si>
    <t>Weber, Sebastian/IQU-9196-2023</t>
  </si>
  <si>
    <t>Weber, Sebastian/0000-0002-4168-3480; Avendano Rodriguez, Diego Fernando/0000-0003-4365-6635; Mujica Roncery, Lais/0000-0003-4351-7520</t>
  </si>
  <si>
    <t>Ministerio de Ciencia Tecnologia e Innovacion of Colombia</t>
  </si>
  <si>
    <t>The authors would like to thank the scientific and technical personnel of the Lehrstuhl Werkstofftechnik institute laboratories and the Ruhr-Universitaet Bochum for their dedicated support in implementing analytical methods and specimen preparation, especially Prof. Dr.-Ing. W. Theisen, and researchers Dr.-Ing. F. Pohl, Dr.-Ing. J. Krell, and Dr.-Ing. G. Egels. We recognize the support of the Ministerio de Ciencia Tecnologia e Innovacion of Colombia. We would also like to express gratitude to Mrs. I. Berns support during the project manuscripts development. Special thanks to engineers F. J. Monroy and J. J. Murillo for their insightful advice in numerically treating experimental results. Finally, to the Advanced Technical Products Supply Co., Inc., for donating ATP-641 coating.</t>
  </si>
  <si>
    <t>Alves M, 2000, COMPUT STRUCT, V76, P703, DOI 10.1016/S0045-7949(99)00187-X; [Anonymous], 2015, ASTME1382; [Anonymous], 2015, E46615 ASTM, DOI [10.1520/E0466-15, DOI 10.1520/E0466-15]; [Anonymous], 2003, ASTME1245; [Anonymous], 2013, E11213 ASTM, DOI 10.1520/E0112-13; [Anonymous], 2016, ASTME646; Ashrafi H, 2017, T INDIAN I METALS, V70, P1575, DOI 10.1007/s12666-016-0955-z; Ashrafi H, 2020, ACTA METALL SIN-ENGL, V33, P299, DOI 10.1007/s40195-019-00967-3; Asik EE, 2019, MAT SCI ENG A-STRUCT, V739, P348, DOI 10.1016/j.msea.2018.10.018; ASTM, 2022, E8E8M22 ASTM; Avendano-Rodriguez D., 2018, J ENG SCI TECHNOL RE, V11, P174; Avramovic-Cingara G, 2009, METALL MATER TRANS A, V40A, P3117, DOI 10.1007/s11661-009-0030-z; Avramovic-Cingara G, 2009, MAT SCI ENG A-STRUCT, V516, P7, DOI 10.1016/j.msea.2009.03.055; Azizi H, 2022, MAT SCI ENG A-STRUCT, V833, DOI 10.1016/j.msea.2021.142582; Bonora N, 2011, STRAIN, V47, P241, DOI 10.1111/j.1475-1305.2009.00678.x; Calcagnotto M, 2012, ISIJ INT, V52, P874, DOI 10.2355/isijinternational.52.874; Calcagnotto M, 2012, METALL MATER TRANS A, V43A, P37, DOI 10.1007/s11661-011-0828-3; Calcagnotto M, 2010, MAT SCI ENG A-STRUCT, V527, P7832, DOI 10.1016/j.msea.2010.08.062; Cantor B, 2008, SER MATER SCI ENG, P1, DOI 10.1201/9781420011906; Das D, 2009, J MATER SCI, V44, P2957, DOI 10.1007/s10853-009-3392-0; Demeri MY., 2013, ADV HIGH STRENGTH ST, DOI [10.31399/asm.tb.ahsssta.9781627082792, DOI 10.31399/ASM.TB.AHSSSTA.9781627082792]; Drumond J, 2012, METALLOGR MICROSTRUC, V1, P217, DOI 10.1007/s13632-012-0034-8; Du C, 2016, SCRIPTA MATER, V120, P37, DOI 10.1016/j.scriptamat.2016.04.006; Farivar H, 2018, MAT SCI ENG A-STRUCT, V718, P250, DOI 10.1016/j.msea.2018.01.106; Filho J. F. D. S., 2016, MATER RES-IBERO-AM J, V19, P258; Fonstein N., 2015, ADV HIGH STRENGTH SH, P67; Gorain N, 2020, ARCH CIV MECH ENG, V20, DOI 10.1007/s43452-020-00022-4; Govik A, 2014, MAT SCI ENG A-STRUCT, V602, P119, DOI 10.1016/j.msea.2014.02.069; Hsueh C.-H., 2019, HDB MECH MAT, V2, P1127; Ichinose K, 2001, J TEST EVAL, V29, P529, DOI 10.1520/JTE12398J; Isik K, 2016, STEEL RES INT, V87, P1583, DOI 10.1002/srin.201500483; Ismail K, 2021, ACTA MATER, V207, DOI 10.1016/j.actamat.2021.116700; Ismail K, 2019, INT J PLASTICITY, V118, P130, DOI 10.1016/j.ijplas.2019.02.005; Jafari M, 2016, MAT SCI ENG A-STRUCT, V670, P57, DOI 10.1016/j.msea.2016.05.094; Kadkhodapour J, 2011, ACTA MATER, V59, P4387, DOI 10.1016/j.actamat.2011.03.062; Kadkhodapour J, 2011, ACTA MATER, V59, P2575, DOI 10.1016/j.actamat.2010.12.039; Kim H, 2013, MAT SCI ENG A-STRUCT, V562, P161, DOI 10.1016/j.msea.2012.11.020; Kusche CF, 2020, PROD ENG-RES DEV, V14, P95, DOI 10.1007/s11740-019-00936-w; Lajarin SF, 2018, J BRAZ SOC MECH SCI, V40, DOI 10.1007/s40430-018-1008-9; Landron C, 2013, ACTA MATER, V61, P6821, DOI 10.1016/j.actamat.2013.07.058; Landron C, 2010, SCRIPTA MATER, V63, P973, DOI 10.1016/j.scriptamat.2010.07.021; Laureys A, 2016, MATER CHARACT, V112, P169, DOI 10.1016/j.matchar.2015.12.017; LEMAITRE J, 1985, J ENG MATER-T ASME, V107, P83, DOI 10.1115/1.3225775; Lu Y., 2016, 23 INT FED HEAT TREA, P18; Mazaheri Y, 2019, MAT SCI ENG A-STRUCT, V761, DOI 10.1016/j.msea.2019.06.031; Mazaheri Y, 2015, MAT SCI ENG A-STRUCT, V639, P8, DOI 10.1016/j.msea.2015.04.098; Mazinani M, 2007, METALL MATER TRANS A, V38A, P328, DOI 10.1007/s11661-006-9023-3; Murillo-Barraza J. J., 2020, IDENTIFICACI N AUTOM; Nanda T, 2019, P I MECH ENG L-J MAT, V233, P209, DOI 10.1177/1464420716664198; Nikhare C, 2011, MAT SCI ENG A-STRUCT, V528, P3010, DOI 10.1016/j.msea.2010.12.098; Nikkhah S, 2019, MATER CHEM PHYS, V230, P1, DOI 10.1016/j.matchemphys.2019.03.053; Pakzaman H. R., 2021, INT J MATER RES, V10, P610; Radwanski K, 2015, STEEL RES INT, V86, P1379, DOI 10.1002/srin.201400361; Ramazani A, 2013, INT J PLASTICITY, V43, P128, DOI 10.1016/j.ijplas.2012.11.003; Ramazani A, 2012, METALL MATER TRANS A, V43A, P3850, DOI 10.1007/s11661-012-1196-3; Rana R, 2017, WOODH PUBL SER METAL, P1; Saeidi N, 2015, MATER DESIGN, V87, P130, DOI 10.1016/j.matdes.2015.07.134; Saeidi N, 2015, J MATER ENG PERFORM, V24, P53, DOI 10.1007/s11665-014-1257-4; Saeidi N, 2014, STEEL RES INT, V85, P1386, DOI 10.1002/srin.201300344; Samei J, 2019, INT J PLASTICITY, V117, P58, DOI 10.1016/j.ijplas.2017.12.009; Seol JB, 2013, ACTA MATER, V61, P558, DOI 10.1016/j.actamat.2012.09.078; Seyedrezai H, 2014, MAT SCI ENG A-STRUCT, V594, P178, DOI 10.1016/j.msea.2013.11.034; Sun L, 2011, INT J PLASTICITY, V27, P1126, DOI 10.1016/j.ijplas.2010.12.003; Tasan CC, 2012, ACTA MATER, V60, P3581, DOI 10.1016/j.actamat.2012.03.017; Tasan CC, 2010, SCRIPTA MATER, V63, P316, DOI 10.1016/j.scriptamat.2010.04.018; Tasan CC, 2009, ACTA MATER, V57, P4957, DOI 10.1016/j.actamat.2009.06.057; Toda H, 2017, ACTA MATER, V126, P401, DOI 10.1016/j.actamat.2017.01.010; Tsiloufas S. P., 2012, MAT SCI APPL, V03, P745; Velasquez C. P., 2020, INT J AUTOMO MECH E, V17, P8086; Wang LY, 2020, ACTA MATER, V199, P613, DOI 10.1016/j.actamat.2020.08.067; Wang N, 2022, MAT SCI ENG A-STRUCT, V836, DOI 10.1016/j.msea.2022.142728; Xue X, 2016, INT J MECH SCI, V117, P1, DOI 10.1016/j.ijmecsci.2016.08.003; Zhang F, 2016, MAT SCI ENG A-STRUCT, V659, P93, DOI 10.1016/j.msea.2016.02.048; Zhang JC, 2015, MAT SCI ENG A-STRUCT, V627, P230, DOI 10.1016/j.msea.2015.01.006; Zhang X, 2020, NAT MATER, V19, P849, DOI 10.1038/s41563-020-0677-9; Zhao JW, 2018, PROG MATER SCI, V94, P174, DOI 10.1016/j.pmatsci.2018.01.006; Zhao P., 2020, FOOD CHEM, V230, P106967; Zhou LY, 2014, INT J MIN MET MATER, V21, P755, DOI 10.1007/s12613-014-0968-8; Zhu YX, 2012, MATER DESIGN, V42, P245, DOI 10.1016/j.matdes.2012.05.043</t>
  </si>
  <si>
    <t>2023 MAR 8</t>
  </si>
  <si>
    <t>10.1002/srin.202200460</t>
  </si>
  <si>
    <t>9R6SN</t>
  </si>
  <si>
    <t>WOS:000945780500001</t>
  </si>
  <si>
    <t>Lizarazo, GAA; Vargas, SMZ; Garcia, AWV</t>
  </si>
  <si>
    <t>Lizarazo, Guillermo Alejandro Arcvalo; Vargas, Sandra Milena Zambrano; Vazquez Garcia, Angel Wilhelm</t>
  </si>
  <si>
    <t>Pecking Order Theory for capital structure analysis: Application in three sectors of the Colombian economy</t>
  </si>
  <si>
    <t>REVISTA FINANZAS Y POLITICA ECONOMICA</t>
  </si>
  <si>
    <t>capital structure; Pecking Order Theory; debt level; tourism; transport; gross domestic product; agricultural economics</t>
  </si>
  <si>
    <t>DECISIONS</t>
  </si>
  <si>
    <t>This study aims to verify whether managers in the agricultural, transport and storage, and tourism and food sectors of Colombia follow a hierarchy of preferences or Pecking Order when defining the capital structure of their companies. Based on Bloomberg and EMIS, the financial statements of 1,548 firms from 2017 to 2020 were used to build three panel data analysis models with fixed effects, one per sector. The findings show a negative relationship between profitability and retained earnings with level of indebtedness in the agricultural and tourism and food sectors. They also indicate that the level of indebtedness of the tourism and food sector increased with the economic crisis generated by COVID-19, while it decreased in the agricultural sector. The conclusions suggest that in these two sectors there is a hierarchy of preferences, but not so in the transport and storage sector, where only a negative relationship with profitability is observed.</t>
  </si>
  <si>
    <t>[Lizarazo, Guillermo Alejandro Arcvalo] Univ Pedag &amp; Tecnol Colombia, Adm Organizac, Tunja, Colombia; [Vargas, Sandra Milena Zambrano] Univ Autonoma Queretaro, Adm, Santiago de Queretaro, Mexico; [Vargas, Sandra Milena Zambrano] Univ Pedag &amp; Tecnol Colombia, Tunja, Colombia; [Vargas, Sandra Milena Zambrano] Grp Invest Ideas, Bogota, Colombia; [Vazquez Garcia, Angel Wilhelm] Univ Autonoma Metropolitana, Estudios Org, Ciudad De Mexico, Mexico; [Vazquez Garcia, Angel Wilhelm] Univ Autonoma Metropolitana, Dept Prod Econ, Unidad Xochimilco, Ciudad De Mexico, Mexico</t>
  </si>
  <si>
    <t>Universidad Pedagogica y Tecnologica de Colombia (UPTC); Universidad Autonoma de Queretaro; Universidad Pedagogica y Tecnologica de Colombia (UPTC); Universidad Autonoma Metropolitana - Mexico; Universidad Autonoma Metropolitana - Mexico</t>
  </si>
  <si>
    <t>Lizarazo, GAA (corresponding author), Univ Pedag &amp; Tecnol Colombia, Adm Organizac, Tunja, Colombia.</t>
  </si>
  <si>
    <t>guillermo.arevaloOl@uptc.edu.co; zambrano01@uptc.edu.co; avazquez@correo.xoc.uam.mx</t>
  </si>
  <si>
    <t>Banco de la Reptiblica, 2021, INF POL MAN TAR; Berk J., 2007, CORPORATE FINANCE; Cespedes J, 2010, J BUS RES, V63, P248, DOI 10.1016/j.jbusres.2009.03.010; Comision Economica para America Latina y el Caribe (Cepal), 2020, INF ESP COVID 19 N 4; Correa Carlos Alberto, 2013, RAM, Rev. Adm. Mackenzie, V14, P106; EMIS, 2021, COL TOUR LEIS SECT 2; EMIS, 2021, LAT AM AGR SECT 2021; EMIS, 2021, LAT AM TRANSP SECT 2; FERRI MG, 1979, J FINANC, V34, P631, DOI 10.1111/j.1540-6261.1979.tb02130.x; Fiirst Clóvis, 2017, Cuad. Contab., V18, P164, DOI 10.11144/javeriana.cc18-46.ecpt; Frank M., 2008, HDB EMPIRICAL CORPOR; Frank MZ, 2009, FINANC MANAGE, V38, P1, DOI 10.1111/j.1755-053X.2009.01026.x; Gil-León José Mauricio, 2018, Finanz. polit. econ., V10, P309, DOI 10.14718/revfinanzpolitecon.2018.10.2.4; HARRIS M, 1991, J FINANC, V46, P297, DOI 10.1111/j.1540-6261.1991.tb03753.x; He W, 2021, J BANK FINANC, V126, DOI 10.1016/j.jbankfin.2021.106103; Kieschnick R, 2018, J CORP FINANC, V48, P597, DOI 10.1016/j.jcorpfin.2017.12.011; Kwak G, 2021, APPL ECON LETT, V28, P1400, DOI 10.1080/13504851.2020.1820437; Leland HE, 1996, J FINANC, V51, P987, DOI 10.2307/2329229; MACKIEMASON JK, 1990, J FINANC, V45, P1471, DOI 10.2307/2328746; MEJÍA AMAYA ANDRÉS FERNANDO, 2013, Finanz. polit. econ., V5, P141; MILLER MH, 1977, J FINANC, V32, P261, DOI 10.2307/2326758; Modigliani E, 1963, AM ECON REV, V53, P433; MODIGLIANI F, 1958, AM ECON REV, V48, P261; Mongrut Samuel, 2010, Cuad. Adm., V23, P163; MYERS SC, 1984, J FINANC ECON, V13, P187, DOI 10.1016/0304-405X(84)90023-0; Myers SC, 2001, J ECON PERSPECT, V15, P81, DOI 10.1257/jep.15.2.81; Pesaran M.H., 2015, TIME SERIES PANEL DA; RAJAN RG, 1995, J FINANC, V50, P1421, DOI 10.2307/2329322; Sarmiento R., 2004, DOCUMENTOS ECONOMFA, V1, P1; Tan KJK, 2021, J BANK FINANC, V131, DOI 10.1016/j.jbankfin.2021.106208; Tenjo E, 2006, COYUNTURA ECONORNICA, V1, P115; Torres-Reyna O., 2007, PANEL DATA ANAL FIXE; Wadnipar S., 2008, REV SOLUTIONS POSTGR, P23; Zambrano S., 2011, CRITERIA LIBRE, V9, P81; Zambrano Vargas Sandra Milena, 2013, Apuntes del Cenes, V32, P205</t>
  </si>
  <si>
    <t>UNIV CATOLICA COLOMBIA, FAC ECONOMIA</t>
  </si>
  <si>
    <t>AV CARACAS 46-72, BOGOTA, 00000, COLOMBIA</t>
  </si>
  <si>
    <t>2248-6046</t>
  </si>
  <si>
    <t>2011-7663</t>
  </si>
  <si>
    <t>REV FINANZAS POLITIC</t>
  </si>
  <si>
    <t>Rev. Finanzas Politica Econ.</t>
  </si>
  <si>
    <t>10.14718/revfinanzpolitecon.v14.n1.2022.5</t>
  </si>
  <si>
    <t>3Q4YB</t>
  </si>
  <si>
    <t>Green Published, Green Submitted, gold</t>
  </si>
  <si>
    <t>WOS:000838237600005</t>
  </si>
  <si>
    <t>Molano, SM; Cardenas, DP; Gomez, HS; Alvarado, DM; Galindo, AF; Sanabria, JF; Gomez-Neita, JS</t>
  </si>
  <si>
    <t>Mauricio Molano, Sergio; Paola Cardenas, Diana; Snaider Gomez, Howard; Mairely Alvarado, Dayana; Fernando Galindo, Andres; Fabian Sanabria, Jeisson; Sebastian Gomez-Neita, Juan</t>
  </si>
  <si>
    <t>Assessment of glacier retreat in the Sierra Nevada del Cocuy, Colombia based on multisensor image classification</t>
  </si>
  <si>
    <t>Andes; Climate change; Climate variability; Accuracy; Supervised classification</t>
  </si>
  <si>
    <t>SNOW-COVER; ICE-AGE; TROPICAL ANDES; ACCURACY; AREA; CORDILLERA; AMERICA; CLIMATE; BASIN; TIME</t>
  </si>
  <si>
    <t>The Andean glaciers represent one of the most important water sources in South America. They have been significantly reduced in recent decades because of climate change and climate variability. The most extensive snow-capped peak in the Colombian Andes Mountains corresponds to the Sierra Nevada del Cocuy (SRC), a mountain range located toward the northeast of the Eastern Cordillera with snow at altitudes ranging from approximately 4800 to 5345 meters above sea level (masl). From Landsat-4 (1987), Landsat-5 (1991, 1997, 2009), Landsat-7 (2000, 2003), Landsat-8 (2014, 2016, 2017), and Sentinel-2 (2019, 2021) satellite imagery, a pixel-oriented classification was performed using the PCI Geomatics software, defining four cover types: glacier area, soil-rock, vegetation, and water. For accuracy validation, high spatial resolution satellite imagery (Google Earth similar to 1.0 m and Planet's high-resolution, analysis-ready mosaics of the world's tropics similar to 4.7 m) and field control points were used as reference data. Overall accuracy values (all coverages) ranged from 86-99%, with accuracy for glacier area coverage between 97-100%. The decrease in the glacier area is of 1099.59 ha over 34 years (1987-2021). This analysis revealed that the glacier area decreased by approximately 37.92% regarding the first scene (1987). According to this trend, the SRC glacier would be extinct by 2048. The rate of glacier retreat is mainly influenced by factors related to global warming, such as the increase in mean annual temperature and the decrease in precipitation rates and climate variability factors such as the El Nino phenomenon.</t>
  </si>
  <si>
    <t>[Mauricio Molano, Sergio; Paola Cardenas, Diana; Snaider Gomez, Howard; Mairely Alvarado, Dayana; Sebastian Gomez-Neita, Juan] Univ Fed Para, Inst Geociencias, Programa Posgrad Geol &amp; Geoquim, Belem, Para, Brazil; [Fernando Galindo, Andres; Fabian Sanabria, Jeisson; Sebastian Gomez-Neita, Juan] Univ Pedag &amp; Tecnol Colombia, Escuela Ingn Geol, Grp Invest Ingn Geol, Sogamoso, Colombia; [Sebastian Gomez-Neita, Juan] Univ Fed Rio Grande do Sul, Inst Geociencias, Programa Posgrad Geociencias, Porto Alegre, RS, Brazil</t>
  </si>
  <si>
    <t>Universidade Federal do Para; Universidad Pedagogica y Tecnologica de Colombia (UPTC); Universidade Federal do Rio Grande do Sul</t>
  </si>
  <si>
    <t>Gomez-Neita, JS (corresponding author), Univ Fed Para, Inst Geociencias, Programa Posgrad Geol &amp; Geoquim, Belem, Para, Brazil.;Gomez-Neita, JS (corresponding author), Univ Pedag &amp; Tecnol Colombia, Escuela Ingn Geol, Grp Invest Ingn Geol, Sogamoso, Colombia.;Gomez-Neita, JS (corresponding author), Univ Fed Rio Grande do Sul, Inst Geociencias, Programa Posgrad Geociencias, Porto Alegre, RS, Brazil.</t>
  </si>
  <si>
    <t>sergio.cardenas@ig.ufpa.br; diana.ruiz@ig.ufpa.br; howard.cepeda@ig.ufpa.br; dayana.sierra@ig.ufpa.br; andres.galindo@uptc.edu.co; jeissonsanabria48@gmail.com; juan.gomezneita@uptc.edu.co</t>
  </si>
  <si>
    <t>Alvarado Sierra, Dayana Mairely/0000-0002-7843-8809; Gomez Neita, Juan Sebastian/0000-0001-9967-7123; Molano Cardenas, Sergio Mauricio/0000-0002-3968-8055</t>
  </si>
  <si>
    <t>Ancizar M., 1955, B SOC GEOGRAFICA COL, V13, P45; Anderson EP., 2011, CLIMATE CHANGE BIODI, P1, DOI DOI 10.13140/2.1.3718.4969; Bautista W., 2018, THESIS U DISTRITAL F; Boretti A, 2020, J ARCHAEOL SCI-REP, V29, DOI 10.1016/j.jasrep.2019.102132; Carey M., 2014, GLACIARES CAMBIO CLI; Ceballos J., 2010, GLACIARES NIEVES HIE, P91; Ceballos JL, 2006, ANN GLACIOL-SER, V43, P194, DOI 10.3189/172756406781812429; Congalton R.G., 2008, ASSESSING ACCURACY R; COOPER MA, 1995, AAPG BULL, V79, P1421; Domine F, 2006, COLD REG SCI TECHNOL, V46, P60, DOI 10.1016/j.coldregions.2006.06.002; Dong CY, 2018, J HYDROL, V561, P573, DOI 10.1016/j.jhydrol.2018.04.027; DOZIER J, 1989, REMOTE SENS ENVIRON, V28, P9, DOI 10.1016/0034-4257(89)90101-6; Ducrot D., 2010, MULTISENSOR MULTITEM, DOI [10.13140/2.1.2607.0084, DOI 10.13140/2.1.2607.0084]; Etayo F., 1969, CONGRESO COLOMBIANO; Euscategui C, 2002, INCIDENCIA VARIACION; Fabre A., 1984, GEOLOGIA PLANCHA 153; Fabre A, 1981, GEOLOGIA REGIONAL SI; Fabre A., 1985, GEOLOGIA PLANCHA 137; Feo Oscar, 2009, Rev. perú. med. exp. salud publica, V26, P83; Florez A, 1991, EPG GEOGRAFIA, V1, P7; Foody GM, 2002, REMOTE SENS ENVIRON, V80, P185, DOI 10.1016/S0034-4257(01)00295-4; García María Claudia, 2012, rev.ing., P60; Guillen J., 2004, THESIS U DISTRITAL F; Guiot J, 2011, QUATERNARY SCI REV, V30, P1965, DOI 10.1016/j.quascirev.2011.04.022; Gutzler DS, 1997, GEOPHYS RES LETT, V24, P2207, DOI 10.1029/97GL02099; Harer S, 2018, CRYOSPHERE, V12, P1629, DOI 10.5194/tc-12-1629-2018; Herrera G, 2008, PERSPECT GEOGR, P27; Hoyos-Patino F., 1998, SATELLITE IMAGE ATLA, P11; IDEAM, 2001, GLACIARES COLOMBIANO; IDEAM, 2010, ATLAS CLIMATOLOGICO; IDEAM, 2010, INF AC GLAC VOLC NEV; IDEAM, 2019, SIERRA NEVADA COCUY; IDEAM, 2007, MODELO INSTITUCIONAL; IDEAM, 2012, GLACIARES COLOMBIA M; Kaser G, 1999, GEOGR ANN A, V81A, P643; Knight P. G., 1999, GLACIERS; Konig M, 2001, REV GEOPHYS, V39, P1, DOI 10.1029/1999RG000076; Li J, 2017, REMOTE SENS-BASEL, V9, DOI 10.3390/rs9090902; Lopez-Moreno JI, 2020, J S AM EARTH SCI, V104, DOI 10.1016/j.jsames.2020.102803; Mark BG, 2008, GLOBAL PLANET CHANGE, V60, P101, DOI 10.1016/j.gloplacha.2006.07.032; Matthews JA, 2005, GEOGR ANN A, V87A, P17, DOI 10.1111/j.0435-3676.2005.00242.x; Metsamaki S, 2015, REMOTE SENS ENVIRON, V156, P96, DOI 10.1016/j.rse.2014.09.018; Morris J., 2006, 63 E SNOW C; Munoz F., 2005, PLAN MANEJO 2005 200; Nolin AW, 2010, J GLACIOL, V56, P1141, DOI 10.3189/002214311796406077; Null J, 2021, NINO NINA YEARS INTE; Painter TH, 1998, REMOTE SENS ENVIRON, V65, P320, DOI 10.1016/S0034-4257(98)00041-8; Pena J., 2015, THESIS U MILITAR NUE; Pontius RG, 2011, INT J REMOTE SENS, V32, P4407, DOI 10.1080/01431161.2011.552923; Poveda G, 2006, PALAEOGEOGR PALAEOCL, V234, P3, DOI 10.1016/j.palaeo.2005.10.031; Quintero J., 2018, THESIS U MANIZALES; Rabatel A, 2005, CR GEOSCI, V337, P1311, DOI 10.1016/j.crte.2005.07.009; Rabatel A, 2013, CRYOSPHERE, V7, P81, DOI 10.5194/tc-7-81-2013; Rapp D, 2014, SPRINGER-PRAX BOOKS, P1, DOI 10.1007/978-3-319-00455-6; Rekowsky I.C., 2018, GEOSCI GEOCIENC, V37, DOI [10.5016/geociencias.v37i3.11946, DOI 10.5016/GEOCIENCIAS.V37I3.11946]; Rodrigues SWP, 2011, WETLANDS, V31, P11, DOI 10.1007/s13157-010-0135-6; Rodriguez J., 2015, THESIS U MILITAR NUE; Rowan AV, 2017, HOLOCENE, V27, P292, DOI 10.1177/0959683616658530; Santos DC, 2020, LAND DEGRAD DEV, V31, P2033, DOI 10.1002/ldr.3514; Silva G., 2010, THESIS U ANDES; Singh DK, 2021, SPAT INF RES, V29, P281, DOI 10.1007/s41324-020-00352-8; Sood V, 2021, QUATERN INT, V575, P204, DOI 10.1016/j.quaint.2020.05.016; Souza PWM, 2018, REMOTE SENS-BASEL, V10, DOI 10.3390/rs10111683; Valdez-Cepeda RD, 2003, FRACTALS, V11, P137, DOI 10.1142/S0218348X0300163X; Varade D., 2017, INT C EMERGING TREND, DOI [10.1109/ICETCCT.2017.8280302, DOI 10.1109/ICETCCT.2017.8280302]; Veettil B., 2017, THESIS U FEDERAL RIO; Veettil BK, 2019, GEOSCIENCES, V9, DOI 10.3390/geosciences9050196; Waliser D., 2015, ENCY ATMOSPHERIC SCI, P121, DOI [10.1016/B978-0-12-382225-3.00417-5, DOI 10.1016/B978-0-12-382225-3.00417-5]; Wang XY, 2015, REMOTE SENS-BASEL, V7, P17246, DOI 10.3390/rs71215882; Wang YL, 2018, REMOTE SENS-BASEL, V10, DOI 10.3390/rs10010136; Winsvold S.H, 2021, MONITORING GLACIERS; Wulder MA, 2019, REMOTE SENS ENVIRON, V225, P127, DOI 10.1016/j.rse.2019.02.015; Xiao XM, 2001, INT J REMOTE SENS, V22, P2479, DOI 10.1080/01431160119766; Yan Y, 2005, ENCY WORLD CLIMATOLO, P429, DOI DOI 10.1007/1-4020-3266-8_110; Zhang MM, 2020, J MT SCI-ENGL, V17, P2707, DOI 10.1007/s11629-020-6255-4</t>
  </si>
  <si>
    <t>10.18273/revbol.v44n1-2022002</t>
  </si>
  <si>
    <t>YW9NY</t>
  </si>
  <si>
    <t>WOS:000753738800003</t>
  </si>
  <si>
    <t>Perinan-Morales, AA; Viafara-Gonzalez, JJ; Arcila-Valencia, JA</t>
  </si>
  <si>
    <t>Andres Perinan-Morales, Abel; Jairo Viafara-Gonzalez, John; Alexander Arcila-Valencia, Jose</t>
  </si>
  <si>
    <t>Triggering Factors that Reinforce or Change EFL Preservice Teachers' Beliefs During the Practicum</t>
  </si>
  <si>
    <t>PROFILE-ISSUES IN TEACHERS PROFESSIONAL DEVELOPMENT</t>
  </si>
  <si>
    <t>English teaching; preservice teachers; teachers' beliefs; teaching practicum</t>
  </si>
  <si>
    <t>CLASSROOM MANAGEMENT</t>
  </si>
  <si>
    <t>This exploratory case study seeks to examine the role that specific factors exert on the evolution of beliefs in preservice English teachers during their final teaching practicum. Data were collected through reflections, interviews, focus groups, and observations. The findings revealed that three groups of factors affect belief evolution during the practicum: participant subjectivity, contextual circumstances, and university support community. Subjectivities encompassed preservice teachers' fears, reactions to reallife teaching challenges, and enthusiasm to become teachers. Contextual circumstances incorporated classroom circumstances and cooperating teachers. The university support community concerned their peers and the university tutor. Implications discuss the relevance of curricular and reflective agendas that enrich the education of future teachers through beliefs exploration.</t>
  </si>
  <si>
    <t>[Andres Perinan-Morales, Abel] Inst Educ Juan Bautista Salle, Florencia, Colombia; [Jairo Viafara-Gonzalez, John] Univ Pedag &amp; Tecnol Colombia, Tunja, Colombia; [Alexander Arcila-Valencia, Jose] Inst Educ Sagrados Corazones, Florencia, Colombia</t>
  </si>
  <si>
    <t>Perinan-Morales, AA (corresponding author), Inst Educ Juan Bautista Salle, Florencia, Colombia.</t>
  </si>
  <si>
    <t>aperinan@juaanblasalle.edu.co; john.viafara@uptc.edu.co; jarcila@udla.edu.co</t>
  </si>
  <si>
    <t>Viafara Gonzalez, John Jairo/0000-0002-8409-6016</t>
  </si>
  <si>
    <t>Abelson R. P., 1979, COGNITIVE SCI, V3, P355, DOI DOI 10.1207/S15516709COG0304_4; Sanchez IA, 2014, HOW, V21, P26, DOI 10.19183/how.21.1.13; ANDERSON NA, 2005, TEACHER ED Q, V32, P97; Arslan FY, 2019, REFLECT PRACT, V20, P111, DOI 10.1080/14623943.2018.1564652; Barahona M, 2014, KULT-ISTOR PSIKHOL, V10, P116; Barcelos A. M. F., 2018, EMOTIONS 2 LANGUAGE, P109, DOI [10.1007/978-3-319-75438-3_7, DOI 10.1007/978-3-319-75438-3_7]; Biesta G, 2015, TEACH TEACH, V21, P624, DOI 10.1080/13540602.2015.1044325; Borg Michaela, 2001, ELT J, V55, P186, DOI DOI 10.1093/ELT/55.2.186; Borg S., 2003, LANG TEACHING, V36, P81, DOI [10.1017/S0261444803001903, DOI 10.1017/S0261444803001903]; CALDERHEAD J, 1991, TEACH TEACH EDUC, V7, P1, DOI 10.1016/0742-051X(91)90053-R; Capan SA, 2014, AUST J TEACH EDUC, V39, P131, DOI 10.14221/ajte.2014v39n12.9; Jaimes JC, 2013, PROFILE-BOGOTA, V15, P195; Clarke A, 2014, REV EDUC RES, V84, P163, DOI 10.3102/0034654313499618; Grijalva SDC, 2013, PROFILE-BOGOTA, V15, P81; Creswell J.W., 2012, ED RES PLANNING COND; DANIELEWICZ J, 2001, IDENTITY PEDAGOGY TE; Debreli E, 2016, J ED TRAIN STUD, V4, DOI [10.11114/jets.v4i7.1513, DOI 10.11114/JETS.V4I7.1513]; Debreli E., 2016, HIGHER ED STUDIES, V6, P116, DOI [10.5539/hes.v6n1p116, DOI 10.5539/HES.V6N1P116]; Narvaez NCD, 2013, PROFILE-BOGOTA, V15, P35; Durán-Narváez Norma Constanza, 2017, Folios, P177; Fajardo Alberto, 2013, Íkala, V18, P37; Farrell T.S.C., 2018, RES REFLECTIVE PRACT; Macias DF, 2015, PROFILE-BOGOTA, V17, P81, DOI 10.15446/profile.v17n2.43641; Green T., 1971, ACTIVITIES TEACHING; Gutierrez C, 2015, COLOMB APPL LINGUIST, V17, P179, DOI 10.14483/udistrital.jour.calj.2015.2.a01; Hatch J.Amos., 2002, DOING QUALITATIVE RE; John PD, 2006, J CURRICULUM STUD, V38, P483, DOI 10.1080/00220270500363620; Kalaja P, 2015, BELIEFS, AGENCY AND IDENTITY IN FOREIGN LANGUAGE LEARNING AND TEACHING, P1, DOI 10.1057/9781137425959; Kramsch C., 2012, ENCY APPL LINGUISTIC, P1, DOI [10.1002/9781405198431.wbeal1122, DOI 10.1002/9781405198431.WBEAL1122]; Kumar R., 2011, RES METHODOLOGY STEP; Kumaravadivelu B., 2011, LANGUAGE TEACHER ED; Kwok A, 2021, EDUC STUD-UK, V47, P609, DOI 10.1080/03055698.2020.1717932; Lortie D., 1975, SCHOOLTEACHER SOCIOL; Mattheoudakis M, 2007, TEACH TEACH EDUC, V23, P1272, DOI 10.1016/j.tate.2006.06.001; Merriam S.B., 2009, JOSSEYBASS HIGHER AD, DOI DOI 10.1097/NCI.0B013-3181EDD9B1; NESPOR J, 1987, J CURRICULUM STUD, V19, P317, DOI 10.1080/0022027870190403; Ozmen K. S., 2012, CURRENT ISSUES ED, V15, P1; PAJARES MF, 1992, REV EDUC RES, V62, P307, DOI 10.3102/00346543062003307; Prilop CN, 2019, STUD EDUC EVAL, V62, P158, DOI 10.1016/j.stueduc.2019.06.005; Richardson V., 2003, TEACHER BELIEFS CLAS, P1, DOI DOI 10.1093/OBO/9780199756810-0276; Solarte ACS, 2008, PROFILE-BOGOTA, V9, P181; Sheridan L, 2016, AUST J TEACH EDUC, V41, DOI 10.14221/ajte.2016v41n3.1; Shooshtari Z., 2017, IRANIAN J APPL LINGU, V20, P185, DOI [10.29252/ijal.20.1.185, DOI 10.29252/IJAL.20.1.185]; Florez SAS, 2017, PROFILE-BOGOTA, V19, P167, DOI 10.15446/profile.v19n2.59675; Vacilotto S., 2007, ELT J, V61, P153, DOI DOI 10.1093/ELT/CCM008; Yuan R, 2014, SYSTEM, V44, P1, DOI 10.1016/j.system.2014.02.002; ZEICHNER K, 1996, CURRENTS REFORM PRES; Zheng H, 2015, TEACHER BELIEFS COMP; Zheng H, 2009, J CAMBRIDGE STUDIES</t>
  </si>
  <si>
    <t>UNIV NACIONAL COLOMBIA, FACULTAD CIENCIAS HUMANAS</t>
  </si>
  <si>
    <t>CIUDAD UNIV, DEPT LENGUAS EXTRANJERAS, BOGOTA, 00000, COLOMBIA</t>
  </si>
  <si>
    <t>1657-0790</t>
  </si>
  <si>
    <t>2256-5760</t>
  </si>
  <si>
    <t>PROFILE-BOGOTA</t>
  </si>
  <si>
    <t>Profile-Iss. Teach. Prof. Dev.</t>
  </si>
  <si>
    <t>10.15446/profile.v24n1.90342</t>
  </si>
  <si>
    <t>1X5MB</t>
  </si>
  <si>
    <t>WOS:000807496600002</t>
  </si>
  <si>
    <t>Wang, XT; Lu, YG; de la Cruz, R; You, GQ</t>
  </si>
  <si>
    <t>Wang, Xianting; Lu, Yun-guang; de la Cruz, Richard; You, Guoqiao</t>
  </si>
  <si>
    <t>Global Solutions to a Hydrodynamic Model for Semiconductors with Velocity Relaxation</t>
  </si>
  <si>
    <t>ACTA MATHEMATICA SCIENTIA</t>
  </si>
  <si>
    <t>global L-8 solution; hydrodynamic model; two-carrier types; velocity relaxation</t>
  </si>
  <si>
    <t>LAX-FRIEDRICHS SCHEME; CONVERGENCE</t>
  </si>
  <si>
    <t>In this paper, we apply the method given in the paper Zero relaxation time limits to a hydrodynamic model of two carrier types for semiconductors  (Mathematische Annalen, 2022, 382: 1031-1046) to study the Cauchy problem for a one dimensional inhomogeneous hydrodynamic model of two-carrier types for semiconductors with the velocity relaxation.</t>
  </si>
  <si>
    <t>[Wang, Xianting] Wuxi Inst Technol, Dept Math, Wuxi 214121, Peoples R China; [Lu, Yun-guang] Hangzhou Normal Univ, Sch Math, Hangzhou 311121, Peoples R China; [de la Cruz, Richard] Univ Pedag &amp; Tecnol Colombia, Escuela Matemat &amp; Estadist, Tunja 999076, Colombia; [You, Guoqiao] Nanjing Audit Univ, Sch Math, Nanjing 210000, Peoples R China</t>
  </si>
  <si>
    <t>Wuxi Institute of Technology; Hangzhou Normal University; Universidad Pedagogica y Tecnologica de Colombia (UPTC); Nanjing Audit University</t>
  </si>
  <si>
    <t>You, GQ (corresponding author), Nanjing Audit Univ, Sch Math, Nanjing 210000, Peoples R China.</t>
  </si>
  <si>
    <t>wangxt@wxit.edu.cn; ylu2005@ustc.edu.cn; richard.delacruz@uptc.edu.co; magqyou@nau.edu.cn</t>
  </si>
  <si>
    <t>Zhejiang Province NSFC [LY20A010023, LY22A010015]; NSFC of China [12071106]; Natural Science Foundation of Jiangsu Province [BK20211293]; Qing-Lan Engineering Foundation of Jiangsu Higher Education Institutions</t>
  </si>
  <si>
    <t>Zhejiang Province NSFC; NSFC of China(National Natural Science Foundation of China (NSFC)); Natural Science Foundation of Jiangsu Province(Natural Science Foundation of Jiangsu Province); Qing-Lan Engineering Foundation of Jiangsu Higher Education Institutions</t>
  </si>
  <si>
    <t>The first and the second authors were supported by Zhejiang Province NSFC (LY20A010023 and LY22A010015) and the NSFC (12071106) of China, and the fourth author was supported by the Natural Science Foundation of Jiangsu Province (BK20211293) and the Qing-Lan Engineering Foundation of Jiangsu Higher Education Institutions.</t>
  </si>
  <si>
    <t>CHEN GQ, 1986, ACTA MATH SCI, V6, P75, DOI 10.1016/S0252-9602(18)30535-6; DING XX, 1985, ACTA MATH SCI, V5, P433, DOI 10.1016/S0252-9602(18)30543-5; DING XX, 1985, ACTA MATH SCI, V5, P415, DOI 10.1016/S0252-9602(18)30542-3; Fang WF, 1997, NONLINEAR ANAL-THEOR, V28, P947, DOI 10.1016/0362-546X(95)00189-3; Hu YB, 2022, MATH ANN, V382, P1031, DOI 10.1007/s00208-020-02071-9; Lu YG, 2020, Arxiv; Lu YG, 2021, AIMS MATH, V6, P6482, DOI 10.3934/math.2021381; Markowich PA, 1990, SEMICONDUCTOR EQUATI; RUDAN M, 1986, COMPEL, V5, P149, DOI 10.1108/eb010024; Wang DH, 1997, Z ANGEW MATH PHYS, V48, P680, DOI 10.1007/s000330050056; Yin SL, 2022, APPL MATH LETT, V132, DOI 10.1016/j.aml.2022.108174</t>
  </si>
  <si>
    <t>0252-9602</t>
  </si>
  <si>
    <t>1572-9087</t>
  </si>
  <si>
    <t>ACTA MATH SCI</t>
  </si>
  <si>
    <t>Acta Math. Sci.</t>
  </si>
  <si>
    <t>10.1007/s10473-023-0226-0</t>
  </si>
  <si>
    <t>8I8NH</t>
  </si>
  <si>
    <t>WOS:000921984900026</t>
  </si>
  <si>
    <t>Garcia-Delgado, H; Velandia, F; Bermudez, MA; Audemard, F</t>
  </si>
  <si>
    <t>Garcia-Delgado, Helbert; Velandia, Francisco; Bermudez, Mauricio A.; Audemard, Franck</t>
  </si>
  <si>
    <t>The present-day tectonic regimes of the Colombian Andes and the role of slab geometry in intraplate seismicity</t>
  </si>
  <si>
    <t>INTERNATIONAL JOURNAL OF EARTH SCIENCES</t>
  </si>
  <si>
    <t>Northern Andes; Focal mechanisms; Stress tensor; Flat slab; Neotectonics</t>
  </si>
  <si>
    <t>CRUSTAL STRESS PATTERN; NORTHERN ANDES; EASTERN CORDILLERA; SOUTH-AMERICA; CAUCA VALLEY; FOCAL MECHANISMS; DEFORMATION; FAULT; SUBDUCTION; EARTHQUAKE</t>
  </si>
  <si>
    <t>Understanding the present-day crustal stress field is fundamental to comprehending active deformation in complex intraplate settings. This is especially true in the Colombian North Andean Block (C-NAB), where the Nazca, Caribbean, and South American plates interact. Our main goals of this study are: (1) to improve our understanding of seismotectonics of the C-NAB, (2) to test the hypothesis that slab geometry controls intraplate stresses, and (3) to evaluate the coherence between crustal stresses and strain field data obtained from GPS data. We show that south of the slab tear that separates the Nazca Plate from a northern plate (Caribbean Plate? Coiba Microplate?), a maximum horizontal compression (SHmax) trending N83 degrees E is associated with a regional strike-slip faulting regime. In this region, the SHmax responds to the oblique subduction of the Nazca Plate, thus favoring the northeastern escape of the C-NAB. Oppositely, north of the slab tear, clockwise rotation in the SHmax to an NW-SE direction (N111 degrees E) is associated with a regional thrust-faulting tectonic regime. Overall, the correspondence between SHmax and subducting slabs underscores relations between plate geometry, plate motion, and intraplate stresses. Finally, significant angular differences between the SHmax and horizontal shortening obtained from GPS displacements are important north of the slab tear and the western forearc region. We hypothesize that north of the slab tear, strain accumulation is enhanced due to the coupling between the upper plate and flat-slab subduction, causing clockwise rigid body rotation of the C-NAB.</t>
  </si>
  <si>
    <t>[Garcia-Delgado, Helbert; Bermudez, Mauricio A.] Syracuse Univ, Dept Earth &amp; Environm Sci, Syracuse, NY 13244 USA; [Velandia, Francisco] Univ Ind Santander, Escuela Geol, Bucaramanga, Colombia; [Bermudez, Mauricio A.] Univ Pedag &amp; Tecnol Colombia, Escuela Ingn Geol, Sogamoso, Colombia; [Audemard, Franck] Fdn Venezolana Invest Sismol, Caracas, Venezuela</t>
  </si>
  <si>
    <t>Syracuse University; Universidad Industrial de Santander; Universidad Pedagogica y Tecnologica de Colombia (UPTC)</t>
  </si>
  <si>
    <t>Garcia-Delgado, H (corresponding author), Syracuse Univ, Dept Earth &amp; Environm Sci, Syracuse, NY 13244 USA.</t>
  </si>
  <si>
    <t>helbertgarciad@gmail.com</t>
  </si>
  <si>
    <t>Audemard, Franck A./HKV-2258-2023</t>
  </si>
  <si>
    <t>Garcia-Delgado, Helbert/0000-0002-7714-7161; Velandia, Francisco/0000-0001-6263-0903; Audemard, Franck/0000-0003-2046-5916; Bermudez, Mauricio A/0000-0003-0584-4790</t>
  </si>
  <si>
    <t>Acosta J, 2007, GEOL SOC SPEC PUBL, V272, P303, DOI 10.1144/GSL.SP.2007.272.01.16; Alvarado A, 2016, TECTONICS, V35, P1048, DOI 10.1002/2016TC004117; Alvarez-Gomez JA, 2019, SOFTWAREX, V9, P299, DOI 10.1016/j.softx.2019.03.008; Amaya S, 2017, LITHOS, V282, P388, DOI 10.1016/j.lithos.2017.03.019; ANGELIER J, 1989, J STRUCT GEOL, V11, P37, DOI 10.1016/0191-8141(89)90034-5; Angelier J., 1977, B SOC GEOL FRANCE, V6, P1309, DOI DOI 10.2113/GSSGFBULL.S7-XIX.6.1309; Arcila M., 2020, GEOLOGY COLOMBIA, DOI [10.32685/pub.esp.38.2019.17, DOI 10.32685/PUB.ESP.38.2019.17]; Audemard F.A, 1993, THESIS U MONTPELLIER; Audemard FA., 1999, Z GEOMORPHOL, V118, P227; Audemard FE, 2002, TECTONOPHYSICS, V345, P299, DOI 10.1016/S0040-1951(01)00218-9; Audemard FA, 2021, J S AM EARTH SCI, V109, DOI 10.1016/j.jsames.2021.103286; Audemard FA, 2016, J S AM EARTH SCI, V71, P309, DOI 10.1016/j.jsames.2016.06.005; Bakker J. G. M, 1989, BASIN RES, V2, P161; Boinet T., 1989, GEOL NORANDINA, V11, P3; Bott M. H. P., 1959, GEOL MAG, V96, P109, DOI [DOI 10.1017/S0016756800059987, 10.1017/S0016756800059987]; Cardozo N, 2009, COMPUT GEOSCI-UK, V35, P1343, DOI 10.1016/j.cageo.2008.05.008; Chiarabba C, 2016, GEOCHEM GEOPHY GEOSY, V17, P16, DOI 10.1002/2015GC006048; CHICANGANA GERMAN, 2005, Earth Sci. Res. J., V9, P50; Colmenares L, 2003, GEOLOGY, V31, P721, DOI 10.1130/G19409.1; Corredor F, 2003, TECTONOPHYSICS, V372, P147, DOI 10.1016/S0040-1951(03)00276-2; Cortes M, 2005, TECTONICS, V24, DOI [10.1029/2003TC001551, 10.1029/2003TC00155]; Cortes M, 2005, TECTONOPHYSICS, V403, P29, DOI 10.1016/j.tecto.2005.03.020; Delvaux D, 1997, TECTONOPHYSICS, V282, P1, DOI 10.1016/S0040-1951(97)00210-2; Delvaux D, 2003, GEOL SOC SPEC PUBL, V212, P75, DOI 10.1144/GSL.SP.2003.212.01.06; Delvaux D, 2010, TECTONOPHYSICS, V482, P105, DOI 10.1016/j.tecto.2009.05.009; DEWEY JW, 1972, B SEISMOL SOC AM, V62, P1711; Dicelis G, 2016, J S AM EARTH SCI, V72, P250, DOI 10.1016/j.jsames.2016.09.011; Diederix H, 2021, J S AM EARTH SCI, V109, DOI 10.1016/j.jsames.2021.103263; Diederix H., 2006, Rev. Asoc. Geol. Argent., V61, P492; Diederix H, 2020, GEOLOGY COLOMBIA, P423, DOI DOI 10.32685/PUB.ESP.38.2019.12; Diederix H., 2009, I2 D, V9, P18; Diederix H., 1987, REV CIAF, V11, P242; Dimate C, 2003, TECTONOPHYSICS, V363, P159, DOI 10.1016/S0040-1951(02)00670-4; Duque-Caro H, 1990, J S AM EARTH SCI, V3, P71, DOI DOI 10.1016/0895-9811(90)90019-W; Ego F, 1996, TECTONOPHYSICS, V259, P101, DOI 10.1016/0040-1951(95)00075-5; Espurt N, 2008, TECTONICS, V27, DOI 10.1029/2007TC002238; Farris DW, 2011, GEOLOGY, V39, P1007, DOI 10.1130/G32237.1; FREYMUELLER JT, 1993, J GEOPHYS RES-SOL EA, V98, P21853, DOI 10.1029/93JB00520; FROHLICH C, 1992, PHYS EARTH PLANET IN, V75, P193, DOI 10.1016/0031-9201(92)90130-N; Garcia H, 2016, J S AM EARTH SCI, V69, P243, DOI 10.1016/j.jsames.2016.04.002; Geological Survey of Colombia, 2022, CAT MEC FOC TENS MOM; Gomez J., 2019, PARIS, DOI 10.32685/10.143.2019.929; Gonzalez JL, 2014, J S AM EARTH SCI, V52, P194, DOI 10.1016/j.jsames.2014.03.002; Gudmundsson A, 2011, ROCK FRACTURES GEOLO; Gutscher MA, 1999, EARTH PLANET SC LETT, V168, P255, DOI 10.1016/S0012-821X(99)00060-6; Gutscher MA, 2000, TECTONICS, V19, P814, DOI 10.1029/1999TC001152; HATCHER R. D. J, 2003, AAPG BULL, V79, P849; HAYES G, 2018, SCIENCE; Heidbach O, 2007, EARTH PLANET SC LETT, V257, P299, DOI 10.1016/j.epsl.2007.02.042; Heidbach O, 2018, TECTONOPHYSICS, V744, P484, DOI 10.1016/j.tecto.2018.07.007; Heidbach O, 2010, TECTONOPHYSICS, V482, P3, DOI 10.1016/j.tecto.2009.07.023; INGEOMINAS, 2005, INT TECHN REP; Jimenez G, 2022, TECTONOPHYSICS, V834, DOI 10.1016/j.tecto.2022.229356; Jimenez G, 2021, GEOSPHERE, V17, P2172, DOI 10.1130/GES02186.1; Jimenez G, 2014, TECTONICS, V33, P2233, DOI 10.1002/2014TC003532; Jimenez G, 2012, J S AM EARTH SCI, V39, P184, DOI 10.1016/j.jsames.2012.04.006; Leon S, 2018, TECTONICS, V37, P119, DOI 10.1002/2017TC004785; Lopez MC, 2011, GEOL SOC AM SPEC PAP, V479, P91, DOI 10.1130/2011.2479(04); Lopez MC, 2009, B GEOLOGIA, V31, P11; Lund B, 2007, GEOPHYS J INT, V170, P1328, DOI 10.1111/j.l365-246X.2007.03468.x; MacDonald WD, 1996, TECTONOPHYSICS, V261, P277, DOI 10.1016/0040-1951(95)00184-0; MALAVE G, 1995, TECTONICS, V14, P617, DOI 10.1029/95TC00334; Marrett R, 1999, J STRUCT GEOL, V21, P1057, DOI 10.1016/S0191-8141(99)00020-6; Martinod J, 2020, EARTH-SCI REV, V204, DOI 10.1016/j.earscirev.2020.103170; McCaffrey R, 2007, GEOPHYS J INT, V169, P1315, DOI 10.1111/j.1365-246X.2007.03371.x; Meletti C, 2008, TECTONOPHYSICS, V450, P85, DOI 10.1016/j.tecto.2008.01.003; Montes C, 2015, SCIENCE, V348, P226, DOI 10.1126/science.aaa2815; Montes C, 2019, EARTH-SCI REV, V198, DOI 10.1016/j.earscirev.2019.102903; Montes C, 2012, J GEOPHYS RES-SOL EA, V117, DOI 10.1029/2011JB008959; Montes N, 2005, B GEOLOGIA, V27, P95; Mora A, 2010, GEOL SOC AM BULL, V122, P1846, DOI 10.1130/B30033.1; MORAPAEZ H, 2019, J S AM EARTH SCI; Neuwerth R, 2006, SEDIMENT GEOL, V186, P67, DOI 10.1016/j.sedgeo.2005.10.009; Noriega-Londono S, 2021, BOL SOC GEOL MEX, V73, DOI [10.18268/bsgm2021v73n2a090221, 10.18268/BSGM2021v73n2a090221]; Ollarves RJ., 2006, Z GEOMORPHOL, V145, P81; Osorio J, 2008, INGEOMINAS, V29, P1; Paris G., 2000, 2000284 USGS; Paris G., 1994, B GEOLOGICO INGEOMIN, V34, P3, DOI 10.32685/0120-1425/bolgeol34.2-3.1994.347; Parra M, 2010, BASIN RES, V22, P874, DOI 10.1111/j.1365-2117.2009.00459.x; Lalinde CP, 2011, GEOL SOC AM SPEC PAP, V479, P79, DOI 10.1130/2011.2479(03); PENNINGTON WD, 1981, J GEOPHYS RES, V86, P753, DOI 10.1029/JB086iB11p10753; Perez-Consuegra N, 2021, GLOBAL PLANET CHANGE, V206, DOI 10.1016/j.gloplacha.2021.103641; Piedrahita VA, 2017, STUD GEOPHYS GEOD, V61, P772, DOI 10.1007/s11200-016-0372-0; Rovida A, 2005, J STRUCT GEOL, V27, P1838, DOI 10.1016/j.jsg.2005.06.009; Siravo G, 2020, J GEOL SOC LONDON, V177, P14, DOI 10.1144/jgs2019-054; Siravo G, 2019, EARTH PLANET SC LETT, V512, P100, DOI 10.1016/j.epsl.2019.02.002; Soumaya A, 2018, TECTONICS, V37, P3148, DOI 10.1029/2018TC004983; Suter F, 2008, TECTONOPHYSICS, V460, P134, DOI 10.1016/j.tecto.2008.07.015; Syracuse EM, 2016, EARTH PLANET SC LETT, V444, P139, DOI 10.1016/j.epsl.2016.03.050; Taboada A, 2000, TECTONICS, V19, P787, DOI 10.1029/2000TC900004; Teson E, 2013, GEOL SOC SPEC PUBL, V377, P257, DOI 10.1144/SP377.10; Tibaldi A, 2000, TECTONICS, V19, P358, DOI 10.1029/1999TC900063; Toro A, 2002, INGEOMINAS INTERNAL, P1; Townend J, 2006, J GEOPHYS RES-SOL EA, V111, DOI 10.1029/2005JB003759; Trenkamp R, 2002, J S AM EARTH SCI, V15, P157, DOI 10.1016/S0895-9811(02)00018-4; Trenkamp R., 2004, EARTH SCI RES J, V8, P25; Twiss RJ, 1998, J GEOPHYS RES-SOL EA, V103, P12205, DOI 10.1029/98JB00612; VANDERHILST R, 1994, GEOLOGY, V22, P451, DOI 10.1130/0091-7613(1994)022&lt;0451:TIOTIO&gt;2.3.CO;2; Vargas CA, 2013, B SEISMOL SOC AM, V103, P2025, DOI 10.1785/0120120328; Velandia F, 2005, TECTONOPHYSICS, V399, P313, DOI 10.1016/j.tecto.2004.12.028; Velandia F, 2021, J S AM EARTH SCI, V111, DOI 10.1016/j.jsames.2021.103473; Velandia F, 2020, J STRUCT GEOL, V137, DOI 10.1016/j.jsg.2020.104087; Velandia F, 2018, J STRUCT GEOL, V115, P190, DOI 10.1016/j.jsg.2018.07.020; Veloza G, 2015, GEOL SOC AM BULL, V127, P1155, DOI 10.1130/B31168.1; Vergara H, 1996, MEM 7 C COL GEOL, P491; Vinasco C, 2019, FRONT EARTH SCI SER, P833, DOI 10.1007/978-3-319-76132-9_12; Wagner LS, 2017, GEOPHYS RES LETT, V44, P6616, DOI 10.1002/2017GL073981; Wallace LM, 2004, J GEOPHYS RES-SOL EA, V109, DOI 10.1029/2004JB003241; Willemann RJ., 2001, SEISMOL RES LETT, V72, P440, DOI [10.1785/gssrl.72.4.440, DOI 10.1785/GSSRL.72.4.440]; Ziegler M, 2019, MANUAL MATLAB SCRIPT; ZOBACK M, 1992, J GEOPHYS RES-SOL EA</t>
  </si>
  <si>
    <t>1437-3254</t>
  </si>
  <si>
    <t>1437-3262</t>
  </si>
  <si>
    <t>INT J EARTH SCI</t>
  </si>
  <si>
    <t>Int. J. Earth Sci.</t>
  </si>
  <si>
    <t>10.1007/s00531-022-02227-9</t>
  </si>
  <si>
    <t>Geosciences, Multidisciplinary</t>
  </si>
  <si>
    <t>4L1YN</t>
  </si>
  <si>
    <t>WOS:000828443300001</t>
  </si>
  <si>
    <t>Cardoso, RDD; Rodriguez, MAM; Juvinao, DDL</t>
  </si>
  <si>
    <t>Cardoso, Rosalba Dalleth Doria; Rodriguez, Marcos Aurelio Mindiola; Juvinao, Danny Daniel Lopez</t>
  </si>
  <si>
    <t>ENVIRONMENTAL SUSTAINABILITY IN A MINING COMPANY DEDICATED TO THE EXPLOITATION OF STONE AGGREGATES IN ALBANIA, LA GUAJIRA</t>
  </si>
  <si>
    <t>INDUSTRY; IMPACT; SAND; KEY</t>
  </si>
  <si>
    <t>In order to evaluate the preconditions for environmental sustainability in a mining company dedicated to the exploitation of stone aggregates in Albania, La Guajira, Colombia, a descriptive, non-experimental, transectional field study was carried out. The environmental problems generated by the mining processes carried out in the exploitation of such aggregates were identified and the application of environmental regulations was examined, in addition to analyzing the strategies and measures of environmental management as indicators that promote environmental sustainability in the mining company. It is concluded that, to promote environmental sustainability in the mining company dedicated to the exploitation of stone aggregates it is required, fundamental, to have clarity and knowledge regarding the nature and implications of the activities of the mines that exploit them, in addition to the responsibilities of an environmental nature that derive from its mining activities.</t>
  </si>
  <si>
    <t>[Cardoso, Rosalba Dalleth Doria; Rodriguez, Marcos Aurelio Mindiola; Juvinao, Danny Daniel Lopez] Univ La Guajira, Riohacha, Colombia; [Juvinao, Danny Daniel Lopez] Univ Pedag &amp; Tecnol Colombia, Tunja, Colombia; [Juvinao, Danny Daniel Lopez] Univ Privada Dr Rafael Belloso Chacin, Ciencias Gerenciales, Maracaibo, Venezuela</t>
  </si>
  <si>
    <t>Juvinao, DDL (corresponding author), Univ la Guajira, Fac Ingn, Grp Invest Ipaitug, Riohacha, Colombia.</t>
  </si>
  <si>
    <t>dlopezj@uniguajira.edu.co</t>
  </si>
  <si>
    <t>Arias F. G., 2012, PROYECTO INVESTIGACI, V6ta; Bayram A, 2015, ENVIRON EARTH SCI, V73, P1997, DOI 10.1007/s12665-014-3549-2; Cesar S, 2021, J CLEANER PROD, V278, P1, DOI [10.1016/j.jclepro.2020, DOI 10.1016/J.JCLEPRO.2020]; ECHAVARRIA Juan Diego Lopera, 2010, NOMADAS CRITICAL J S, V25; Farjana SH, 2019, J CLEAN PROD, V231, P1200, DOI 10.1016/j.jclepro.2019.05.264; Haghnazar H, 2020, ENVIRON EARTH SCI, V79, DOI 10.1007/s12665-020-09106-z; Hernandez-Sampieri R., 2018, METODOLOG A INVESTIG; Hilson G, 2002, INT J MINER PROCESS, V64, P19, DOI 10.1016/S0301-7516(01)00071-0; Jatib NH, 2011, MINERIA GEOLOGIA, V27, P38; Lopez DD, 2020, INVEST INNOV ING, V8, P20, DOI [10.17081/invinno.8.2.3857, DOI 10.17081/INVINNO.8.2.3857]; Marimuthu R, 2021, SUSTAIN PROD CONSUMP, V27, P814, DOI 10.1016/j.spc.2021.02.005; Oblasser A., 2016, ESTUDIO LINEAMIENTOS; Oca-Risco AMD, 2014, HOLGUIN B CS TIERRA, P18, DOI [10.15446/rbct. n36.39543, DOI 10.15446/RBCT.N36.39543]; Pietrobelli C, 2018, RESOUR POLICY, V58, P1, DOI 10.1016/j.resourpol.2018.05.010; Podimata MV, 2016, J ENVIRON PLANN MAN, V59, P120, DOI 10.1080/09640568.2014.991381; RamirezRojas MI, 2008, SOSTENIBILIDAD EXPLO; Rojano Roberto E, 2013, Inf. tecnol., V24, P37, DOI 10.4067/S0718-07642013000200006; Viloria Villegas Margarita Inés, 2018, Cienc. Ing. Neogranad., V28, P121, DOI 10.18359/rcin.2941; Watson R, 2008, SITUACION ACTUAL PER</t>
  </si>
  <si>
    <t>1-2</t>
  </si>
  <si>
    <t>ZO9YD</t>
  </si>
  <si>
    <t>WOS:000766082200002</t>
  </si>
  <si>
    <t>Alcover, CM; Nazar, G; Bargsted, M; Ramirez-Vielma, R; Pulido, N; Rodriguez, L</t>
  </si>
  <si>
    <t>Alcover, Carlos-Maria; Nazar, Gabriela; Bargsted, Mariana; Ramirez-Vielma, Raul; Pulido, Ninfa; Rodriguez, Lucia</t>
  </si>
  <si>
    <t>Transcultural Validation of the Nordic Age Discrimination Scale for the Spanish-Speaking Working Populations</t>
  </si>
  <si>
    <t>SPANISH JOURNAL OF PSYCHOLOGY</t>
  </si>
  <si>
    <t>age discrimination at work; Nordic Age Discrimination Scale (NADS); older workers; validation</t>
  </si>
  <si>
    <t>OLDER WORKERS; MEASUREMENT INVARIANCE; PSYCHOSOCIAL FACTORS; COMMON STEREOTYPES; SELF-PERCEPTIONS; FIT INDEXES; WORKPLACE; COMPETENCE; COVARIANCE; INTENTIONS</t>
  </si>
  <si>
    <t>Negative stereotypes about older workers can result in different types of age discrimination. The aim of this study was to run a transcultural adaptation and validation of the Nordic Age Discrimination Scale (NADS) into Spanish. Three independent samples of Chilean (N = 301), Colombian (N = 150), and Spanish (N = 209) workers over the age of 45, from different sectors and professional categories, answered a questionnaire including the NADS scale, measures of perceptions of inequality, workplace harassment and several scales related to outcome variables to test criterion and construct validity. The reliability index for the NADS was .85, a similar value for both Cronbach's alpha (alpha) and McDonald's omega (omega). CFA by country suggest good fit of this single-dimension structure in a final version of 5 items, and it presents scalar invariance; using the modification indices, partial invariance is achieved at the level of the variance of the errors. Both criterion and construct validity were verified, with strong evidence for criterion validity, and moderate results for construct validity. Therefore, the Spanish version of NADS had a single-dimension structure and adequate psychometric properties being a useful tool in measuring perceptions of age discrimination in different countries.</t>
  </si>
  <si>
    <t>[Alcover, Carlos-Maria] Univ Rey Juan Carlos, Madrid, Spain; [Nazar, Gabriela; Ramirez-Vielma, Raul] Univ Concepcion, Concepcion, Chile; [Bargsted, Mariana] Univ Adolfo Ibanez, Santiago, Chile; [Pulido, Ninfa; Rodriguez, Lucia] Univ Pedag &amp; Tecnol Colombia, Tunja, Colombia</t>
  </si>
  <si>
    <t>Universidad Rey Juan Carlos; Universidad de Concepcion; Universidad Adolfo Ibanez; Universidad Pedagogica y Tecnologica de Colombia (UPTC)</t>
  </si>
  <si>
    <t>Ramirez-Vielma, R (corresponding author), Univ Concepcion, Dept Psicol, Concepcion, Chile.</t>
  </si>
  <si>
    <t>rauramir@udec.cl</t>
  </si>
  <si>
    <t>Bargsted, Mariana/A-6373-2016; Ramírez-Vielma, Raúl/P-8721-2014</t>
  </si>
  <si>
    <t>Bargsted, Mariana/0000-0002-9282-0561; Ramírez-Vielma, Raúl/0000-0001-9231-4944; Alcover, Carlos-Maria/0000-0001-9632-9107; Pulido Moreno, Ninfa del Carmen/0000-0002-9825-0037</t>
  </si>
  <si>
    <t>Concurso Atraccion de Capital Humano Avanzado del Extranjero, Modalidad Estadias Cortas (MEC), Convocatoria [MEC80190085]</t>
  </si>
  <si>
    <t>Concurso Atraccion de Capital Humano Avanzado del Extranjero, Modalidad Estadias Cortas (MEC), Convocatoria</t>
  </si>
  <si>
    <t>This work was supported by the Concurso Atraccion de Capital Humano Avanzado del Extranjero, Modalidad Estadias Cortas (MEC), Convocatoria 2019 (Grant Number MEC80190085).</t>
  </si>
  <si>
    <t>Alcover CM, 2018, PLOS ONE, V13, DOI 10.1371/journal.pone.0195973; Andersen LL, 2020, EUR J PUBLIC HEALTH, V30, P241, DOI 10.1093/eurpub/ckz146; [Anonymous], 2013, IBM SPSS AMOS 22 USE; Bal AC, 2011, J GERONTOL B-PSYCHOL, V66, P687, DOI 10.1093/geronb/gbr056; Bayl-Smith PH, 2014, J APPL SOC PSYCHOL, V44, P588, DOI 10.1111/jasp.12251; Bjorklund C., 2008, REV REPORT QPS NORDI, P29; Bowen CE, 2013, J GERONTOL B-PSYCHOL, V68, P59, DOI 10.1093/geronb/gbs060; Brownell P, 2014, S E EUROPEAN J PUBLI, V1, DOI [10.4119/UNIBI/SEEJPH-2014-28, DOI 10.4119/UNIBI/SEEJPH-2014-28]; BYRNE BM, 1989, PSYCHOL BULL, V105, P456, DOI 10.1037/0033-2909.105.3.456; Carral P, 2019, INT J ENV RES PUB HE, V16, DOI 10.3390/ijerph16081431; Centro UC Politicas Publicas, 2017, AD MAYOR ACT CHIL OL; Chang ES, 2020, PLOS ONE, V15, DOI 10.1371/journal.pone.0220857; Chen FF, 2007, STRUCT EQU MODELING, V14, P464, DOI 10.1080/10705510701301834; Chiesa R, 2019, FRONT PSYCHOL, V10, DOI 10.3389/fpsyg.2019.00649; Chou RJA, 2011, AGEING SOC, V31, P1051, DOI 10.1017/S0144686X10001297; Cockell Fernanda Flávia, 2014, Psicol. Soc., V26, P461, DOI 10.1590/S0102-71822014000200022; Cuddy A.J.C., 2002, AGEISM STEREOTYPING, P3; Dallner M., 2000, VALIDATION GEN NORDI; Dordoni P, 2015, AGEING INT, V40, P393, DOI 10.1007/s12126-015-9222-6; Duncan C, 2004, GENDER WORK ORGAN, V11, P95, DOI 10.1111/j.1468-0432.2004.00222.x; Fiske ST, 2002, J PERS SOC PSYCHOL, V82, P878, DOI 10.1037//0022-3514.82.6.878; Furunes T, 2010, SCAND J PSYCHOL, V51, P23, DOI 10.1111/j.1467-9450.2009.00738.x; Gaillard M, 2010, BASIC APPL SOC PSYCH, V32, P86, DOI 10.1080/01973530903435763; Garstka TA, 2004, PSYCHOL AGING, V19, P326, DOI 10.1037/0882-7974.19.2.326; HAIR J. F., 2014, MULTIVARIATE DATA AN; Harnois CE, 2014, SOCIOL PERSPECT, V57, P470, DOI 10.1177/0731121414543028; Harris K, 2018, GERONTOLOGIST, V58, pE1, DOI 10.1093/geront/gnw194; HASSELL BL, 1995, J ORGAN BEHAV, V16, P457, DOI 10.1002/job.4030160506; Herrera M.-S., 2018, TRABAJO PERSONAS MAY; Hu LT, 1999, STRUCT EQU MODELING, V6, P1, DOI 10.1080/10705519909540118; International Labor Organization, 2018, SPOTLIGHT WORK STAT, V1; Cebola MMJ, 2021, AGEING SOC, DOI 10.1017/S0144686X21001380; King SP, 2017, J ORGAN BEHAV, V38, P124, DOI 10.1002/job.2118; Kooij D, 2008, J MANAGE PSYCHOL, V23, P364, DOI 10.1108/02683940810869015; Krings F, 2011, BRIT J MANAGE, V22, P187, DOI 10.1111/j.1467-8551.2010.00721.x; Lagace M, 2020, RES AGEING METHODOLO, P41, DOI [10.4324/9781003051169, DOI 10.4324/9781003051169]; Levy BR, 2004, PREV MED, V39, P625, DOI 10.1016/j.ypmed.2004.02.029; Levy BR, 2002, J GERONTOL B-PSYCHOL, V57, pP409, DOI 10.1093/geronb/57.5.P409; Londono Moreno A. M., 2021, MUNDO TRABAJO ORGANI, P615; Loretto W., 2006, Human Resource Management Journal, V16, P313, DOI 10.1111/j.1748-8583.2006.00013.x; MacDermott T, 2014, INT J DISCRIM LAW, V14, P83, DOI 10.1177/1358229113520211; Macdonald JL, 2016, J SOC ISSUES, V72, P169, DOI 10.1111/josi.12161; Machado C. S., 2013, DISCUSSION PAPER SER, V7784; Martinez-Restrepo S., 2015, MERCADO LABORAL PERS; Maurer TJ, 2001, ACAD MANAGE EXEC, V15, P110, DOI 10.5465/AME.2001.5898395; McMullin JA, 2001, GERONTOLOGIST, V41, P111, DOI 10.1093/geront/41.1.111; Millsap RE, 2004, MULTIVAR BEHAV RES, V39, P479, DOI 10.1207/S15327906MBR3903_4; Mulders JO, 2017, GERONTOLOGIST, V57, P857, DOI 10.1093/geront/gnw076; Nazar Gabriela, 2015, Psicoperspectivas, V14, P114, DOI 10.5027/psicoperspectivas-Vol14-Issue1-fulltext-435; Ng TWH, 2012, PERS PSYCHOL, V65, P821, DOI 10.1111/peps.12003; Organization for Economic Cooperation and Development, 2020, ELD POP IND, DOI [10.1787/8d805-a1-en, DOI 10.1787/8D805-A1-EN]; Organization for Economic Cooperation and Development, 2013, PENS GLANC 2015 OECD, DOI [10.1787/pension_glance-2013-en, DOI 10.1787/PENSION_GLANCE-2015-EN, DOI 10.1787/PENSION_GLANCE-2013-EN]; Pahkin K., 2008, USERS GUIDE QPSNORDI; Petery GA, 2020, INT J SELECT ASSESS, V28, P510, DOI 10.1111/ijsa.12309; Podsakoff PM, 2003, J APPL PSYCHOL, V88, P879, DOI 10.1037/0021-9010.88.5.879; Posthuma R.A., 2012, OXFORD HAND BOOK WOR, P298, DOI DOI 10.1093/OXFORDHB/9780195385052.013.0104; Posthuma RA, 2009, J MANAGE, V35, P158, DOI 10.1177/0149206308318617; Putnick DL, 2016, DEV REV, V41, P71, DOI 10.1016/j.dr.2016.06.004; Redman T., 2003, HUMAN RESOURCE MANAG, V13, P78, DOI DOI 10.1111/J.1748-8583.2003.TB00085.X; Richardson B, 2013, J APPL SOC PSYCHOL, V43, P35, DOI 10.1111/j.1559-1816.2012.00979.x; Sass DA, 2014, STRUCT EQU MODELING, V21, P167, DOI 10.1080/10705511.2014.882658; Shipp F, 2010, J PSYCHOPATHOL BEHAV, V32, P557, DOI 10.1007/s10862-010-9185-6; Solem PE, 2016, NORD PSYCHOL, V68, P160, DOI 10.1080/19012276.2015.1095650; Steenkamp JBEM, 1998, J CONSUM RES, V25, P78, DOI 10.1086/209528; Thorsen S, 2012, INT ARCH OCC ENV HEA, V85, P437, DOI 10.1007/s00420-011-0689-5; Topa G, 2018, FRONT PSYCHOL, V8, DOI 10.3389/fpsyg.2017.02157; Topa G, 2015, CAREER DEV INT, V20, P384, DOI 10.1108/CDI-09-2014-0129; Triana M.d.C., 2018, OXFORD HDB WORKPLACE, DOI [10.1093/oxfordhb/9780199363643.013.23, DOI 10.1093/OXFORDHB/9780199363643.013.23]; Truxillo D.M., 2018, OXFORD HDB WORKPLACE, P129, DOI 10.1093/oxfordhb/9780199363643.013.10; Tuomi K, 2001, OCCUP MED-OXFORD, V51, P318, DOI 10.1093/occmed/51.5.318; Walker H, 2007, SOC POLICY SOC, V6, P37, DOI 10.1017/S1474746406003320; Williams L.J., 2004, HDB RES METHODS IND, P366, DOI 10.1002/9780470756669.ch18; Wood G, 2008, INT J MANAG REV, V10, P425, DOI 10.1111/j.1468-2370.2008.00236.x; Yuan ASV, 2007, SOC FORCES, V86, P291, DOI 10.1353/sof.2007.0113; Zacher H., 2015, ENCY ADULTHOOD AGING, DOI [10.1002/9781118521373, DOI 10.1002/9781118521373]; Zaniboni S, 2010, INT J MANPOWER, V31, P271, DOI 10.1108/01437721011050576</t>
  </si>
  <si>
    <t>1138-7416</t>
  </si>
  <si>
    <t>1988-2904</t>
  </si>
  <si>
    <t>SPAN J PSYCHOL</t>
  </si>
  <si>
    <t>Span. J. Psychol.</t>
  </si>
  <si>
    <t>MAR 28</t>
  </si>
  <si>
    <t>e15</t>
  </si>
  <si>
    <t>10.1017/SJP.2022.10</t>
  </si>
  <si>
    <t>Psychology; Psychology, Multidisciplinary</t>
  </si>
  <si>
    <t>ZZ8BN</t>
  </si>
  <si>
    <t>WOS:000773490000001</t>
  </si>
  <si>
    <t>Burgos, AAB; Juvinao, DDL</t>
  </si>
  <si>
    <t>Burgos, Angel Alejandro Bruges; Juvinao, Danny Daniel Lopez</t>
  </si>
  <si>
    <t>TECHNOLOGICAL INNOVATION IN CLAY MINING IN THE DEPARTMENT OF LA GUAJIRA, COLOMBIA</t>
  </si>
  <si>
    <t>Arcilla; Estructuras organizativas; Innovaci?n tecnol?gica; La Guajira; Miner?a</t>
  </si>
  <si>
    <t>In order to analyze the existing technological innovation in clay mining in the municipalities of Riohacha and Manaure in La Guajira, Colombia, direct group field observation techniques with documentary review were carried out. In order to search for backup supports in the analysis, structured observation record sheets were used as an instrument for data collection. The clay mines were far from the ideality of what is understood by technological innovation (radical and incre-mental), thus, the radical, which is the one that represents new changes in the mines, was very low or null, due to the fact that no new changes in the processes were observed. On the contrary, in the mines, incremental innovation was identified, which represents improvements, although to a minimum degree, in the mining processes. In terms of radical innovation, no innovation processes that can be identified are being carried out, since the process has traditionally been carried out and the practices traditionally used in the department are maintained. Instead, incremental innovation prevails within the mines studied. However, actions must be taken to strengthen its implementation. Also, it is concluded that the mines manage organic structures with a high degree of de-centralization of the processes that are carried out. To a very low extent, actions that characterize bureaucratic structures are carried out.</t>
  </si>
  <si>
    <t>[Burgos, Angel Alejandro Bruges] Univ Norte, Norte, Colombia; [Burgos, Angel Alejandro Bruges] Univ La Guajira, Tecnol &amp; Innovac, Riohacha, Colombia; [Burgos, Angel Alejandro Bruges] Promigas SA ESP Riohacha, Barranquilla, Colombia; [Burgos, Angel Alejandro Bruges] Univ La Guajira, Fac Ingn, Grp Invest Ipaitug, Riohacha, Colombia; [Juvinao, Danny Daniel Lopez] Univ Pedag &amp; Tecnol Colombia, Tunja, Colombia; [Juvinao, Danny Daniel Lopez] Univ La Guajira, Univ Rafael Belloso Chacin, Riohacha, Colombia; [Juvinao, Danny Daniel Lopez] Univ La Guajira, Fac Ingn, Grp Invest Ipaitug, Direcc Km 5 Salida Maicao, Riohacha, Colombia</t>
  </si>
  <si>
    <t>Universidad del Norte Colombia; Universidad Pedagogica y Tecnologica de Colombia (UPTC)</t>
  </si>
  <si>
    <t>Burgos, AAB (corresponding author), Univ Norte, Norte, Colombia.;Burgos, AAB (corresponding author), Univ La Guajira, Tecnol &amp; Innovac, Riohacha, Colombia.;Burgos, AAB (corresponding author), Promigas SA ESP Riohacha, Barranquilla, Colombia.;Burgos, AAB (corresponding author), Univ La Guajira, Fac Ingn, Grp Invest Ipaitug, Riohacha, Colombia.</t>
  </si>
  <si>
    <t>aalejandrobruges@uniguajira.edu.co; dlopez@uniguajira.edu.co</t>
  </si>
  <si>
    <t>Alvarado JM, 2015, PRODUCCION OCUPACION; Aroca Tatiana C., 2018, Inf. tecnol., V29, P267; Olvera BC, 2022, MINER ECON, V35, P35, DOI 10.1007/s13563-021-00251-w; Chen CH, 2022, ASIA PAC MANAG REV, V27, P312, DOI 10.1016/j.apmrv.2022.01.001; Claver E, 2006, INVEST EUR DIR ECO E, V12, P187; Oviedo-Caceres MD, 2021, REV CUID, V12, DOI 10.15649/cuidarte.1139; Hernández-Quirama Andrea, 2019, Rev. logos cienc. tecnol., V11, P113, DOI 10.22335/rlct.v11i2.832; Hernandez-Sampieri R., 2018, METODOLOGIA INVESTIG, V4, P310; Ihekweme GO, 2020, HELIYON, V6, DOI 10.1016/j.heliyon.2020.e03783; Liu Q, 2022, RESOUR POLICY, V79, DOI 10.1016/j.resourpol.2022.103047; López Danny D., 2021, Inf. tecnol., V32, P39, DOI 10.4067/S0718-07642021000100039; Lopez DD, 2016, INVESTIGACION INNOVA, V4, P8; Lopez DD, 2017, INVESTIGACION INNOVA, V4, P8, DOI [10.17081/invinno.4.2.2486, DOI 10.17081/INVINNO.4.2.2486]; Maxwell J, 2019, DISENO INVESTIGACION, V241006; Rantala T, 2018, J CLEAN PROD, V172, P46, DOI 10.1016/j.jclepro.2017.10.009; Rodriguez -Medina MA, 2021, REV IBER INVES DES E, V12, pe240; Ruiz AET, 2021, REV SCI, V6, P275; Saavedra-Conde L, 2021, REV FAC NAC SALUD PU, V39; Salcedo KP, 2021, INF TECNOL, V32, P129; Sánchez Maream J., 2021, RCUISRAEL, V8, P107, DOI 10.35290/rcui.v8n1.2021.400; SANTOS AMADO JOSÉ DARÍO, 2011, Dyna rev.fac.nac.minas, V78, P50; Sudhir MR, 2021, MATER TODAY-PROC, V46, P163, DOI 10.1016/j.matpr.2020.07.171; Torres Vilmer Y., 2021, Inf. tecnol., V32, P85; Ustate LMT, 2020, INVESTIGACION INNOVA, V8, P20, DOI [10.17081/invinno.8.2.3857, DOI 10.17081/INVINNO.8.2.3857]; Wu J, 2019, J TECHNOL TRANSFER, V44, P210, DOI 10.1007/s10961-017-9621-9</t>
  </si>
  <si>
    <t>8H9TE</t>
  </si>
  <si>
    <t>WOS:000921370800004</t>
  </si>
  <si>
    <t>Diaz-Valencia, BF; Moncada-Villa, E; Gomez, FR; Porras-Montenegro, N; Mejia-Salazar, JR</t>
  </si>
  <si>
    <t>Diaz-Valencia, Brayan Fernando; Moncada-Villa, Edwin; Gomez, Faustino Reyes; Porras-Montenegro, Nelson; Mejia-Salazar, Jorge Ricardo</t>
  </si>
  <si>
    <t>Bulk Plasmon Polariton Modes in Hyperbolic Metamaterials for Giant Enhancement of the Transverse Magneto-Optical Kerr Effect</t>
  </si>
  <si>
    <t>magneto-optical materials; TMOKE; magnetoplasmonics</t>
  </si>
  <si>
    <t>MAGNETOPLASMONIC CRYSTALS; INTEGRATION</t>
  </si>
  <si>
    <t>We demonstrate a concept for the giant enhancement of the transverse magneto-optical Kerr effect (TMOKE) using bulk plasmon polariton (BPP) modes in non-magnetic multilayer hyperbolic metamaterials (HMMs). Since the BPP modes are excited through the attenuated total reflection (ATR) mechanism, using a Si-based prism-coupler, we considered a single dielectric magneto-optical (MO) spacer between the prism and the HMM. The working wavelength was estimated, using the effective medium approach for a semi-infinite dielectric-plasmonic multilayer, considering the region where the system exhibits type II HMM dispersion relations. Analytical results, by means of the scattering matrix method (SMM), were used to explain the physical principle behind our concept. Numerical results for giant TMOKE values (close to their maximum theoretical values, +/- 1) were obtained using the finite element method (FEM), applying the commercial software COMSOL Multiphysics. Our proposal comprises a simple and experimentally feasible structure that enables the study of MO phenomena in HMMs, which may find application in future nanostructured magnetoplasmonic metamaterials for active nanophotonic devices.</t>
  </si>
  <si>
    <t>[Diaz-Valencia, Brayan Fernando; Porras-Montenegro, Nelson] Univ Valle, Dept Fis, Cali 25360, Colombia; [Moncada-Villa, Edwin] Univ Pedag &amp; Tecnol Colombia, Escuela Fis, Ave Cent Norte, Tunja 39115, Colombia; [Gomez, Faustino Reyes] Univ Sao Paulo, Inst Fis Sao Carlos, POB 369, BR-13566590 Sao Carlos, SP, Brazil; [Mejia-Salazar, Jorge Ricardo] Inst Nacl Telecomunicacoes Inatel, BR-37540000 Santa Rita Do Sapucai, Brazil</t>
  </si>
  <si>
    <t>Universidad del Valle; Universidad Pedagogica y Tecnologica de Colombia (UPTC); Universidade de Sao Paulo; Instituto Nacional de Telecomunicacoes (INATEL)</t>
  </si>
  <si>
    <t>jrmejia@inatel.br</t>
  </si>
  <si>
    <t>Mejia Salazar, J. Ricardo/I-8855-2016</t>
  </si>
  <si>
    <t>Mejia Salazar, J. Ricardo/0000-0003-1742-9957</t>
  </si>
  <si>
    <t>MCTIC, under the Brazil 6G project of the Radiocommunication Reference Center (Centro de Referencia em Radiocomunicacoes-CRR) of the National Institute of Telecommunications (Instituto Nacional de Telecomunicacoes-Inatel), Brazil [01245.010604/2020-14]; National Council for Scientific and Technological Development-CNPq [314671/2021-8]; Colombian agency COLCIENCIAS [848]; University of Sao Paulo (Postdoctoral Fellowship-PIPAE)</t>
  </si>
  <si>
    <t>MCTIC, under the Brazil 6G project of the Radiocommunication Reference Center (Centro de Referencia em Radiocomunicacoes-CRR) of the National Institute of Telecommunications (Instituto Nacional de Telecomunicacoes-Inatel), Brazil; National Council for Scientific and Technological Development-CNPq(Conselho Nacional de Desenvolvimento Cientifico e Tecnologico (CNPQ)); Colombian agency COLCIENCIAS(Departamento Administrativo de Ciencia, Tecnologia e Innovacion Colciencias); University of Sao Paulo (Postdoctoral Fellowship-PIPAE)</t>
  </si>
  <si>
    <t>Partial financial support was received from RNP, with resources from MCTIC, Grant No. 01245.010604/2020-14, under the Brazil 6G project of the Radiocommunication Reference Center (Centro de Referencia em Radiocomunicacoes-CRR) of the National Institute of Telecommunications (Instituto Nacional de Telecomunicacoes-Inatel), Brazil. We also acknowledge financial support from the Brazilian agencies National Council for Scientific and Technological Development-CNPq (314671/2021-8). B. F. Diaz-Valencia acknowledges the financial support from the Colombian agency COLCIENCIAS (Postdoctoral Fellowship-No. 848). F. Reyes-Gomez acknowledges the financial support from the University of Sao Paulo (Postdoctoral Fellowship-PIPAE).</t>
  </si>
  <si>
    <t>Almpanis E, 2020, OPT MATER, V99, DOI 10.1016/j.optmat.2019.109539; Avrutsky I, 2007, PHYS REV B, V75, DOI 10.1103/PhysRevB.75.241402; Belotelov VI, 2007, PHYS REV LETT, V98, DOI 10.1103/PhysRevLett.98.077401; Belyaev VK, 2020, SCI REP-UK, V10, DOI 10.1038/s41598-020-63535-1; Bi L, 2013, MATERIALS, V6, P5094, DOI 10.3390/ma6115094; Caballero B, 2016, ACS PHOTONICS, V3, P203, DOI 10.1021/acsphotonics.5b00658; Chen X, 2017, ACS NANO, V11, P9863, DOI 10.1021/acsnano.7b03584; Chou KH, 2014, OPT EXPRESS, V22, P19794, DOI 10.1364/OE.22.019794; Diaz-Valencia BF, 2021, OPT LETT, V46, P4863, DOI 10.1364/OL.437519; Diaz-Valencia BF, 2017, ACS OMEGA, V2, P7682, DOI 10.1021/acsomega.7b01458; Diaz-Valencia BF, 2022, ACS APPL NANO MATER, V5, P1, DOI 10.1021/acsanm.1c04310; Fan B, 2019, ADV OPT MATER, V7, DOI 10.1002/adom.201801420; Gambino R.J., 2000, MAGNETOOPTICAL RECOR, V1st; Halagacka L, 2013, OPT EXPRESS, V21, P21741, DOI 10.1364/OE.21.021741; Ignatyeva DO, 2016, SCI REP-UK, V6, DOI 10.1038/srep28077; JOHNSON PB, 1972, PHYS REV B, V6, P4370, DOI 10.1103/PhysRevB.6.4370; Kolmychek IA, 2018, OPT LETT, V43, P3917, DOI 10.1364/OL.43.003917; MALITSON IH, 1965, J OPT SOC AM, V55, P1205, DOI 10.1364/JOSA.55.001205; Mejia-Salazar JR, 2018, CHEM REV, V118, P10617, DOI 10.1021/acs.chemrev.8b00359; Moccia M, 2014, J APPL PHYS, V115, DOI 10.1063/1.4862977; Moncada-Villa E, 2020, PHYS REV B, V102, DOI 10.1103/PhysRevB.102.165304; Onbasli MC, 2016, SCI REP-UK, V6, DOI 10.1038/srep23640; Onbasli MC, 2014, OPT EXPRESS, V22, P25183, DOI 10.1364/OE.22.025183; Pfaffenbach ES, 2021, ACS APPL MATER INTER, V13, P60672, DOI 10.1021/acsami.1c19194; Poddubny A, 2013, NAT PHOTONICS, V7, P948, DOI [10.1038/nphoton.2013.243, 10.1038/NPHOTON.2013.243]; Rizal C, 2021, J APPL PHYS, V130, DOI 10.1063/5.0072884; Rizal C, 2020, J PHYS D APPL PHYS, V53, DOI 10.1088/1361-6463/ab4ec0; Shoji Y, 2014, JPN J APPL PHYS, V53, DOI 10.7567/JJAP.53.022202; Sreekanth KV, 2014, J OPTICS-UK, V16, DOI 10.1088/2040-8978/16/10/105103; Sreekanth KV, 2016, NAT MATER, V15, P621, DOI [10.1038/NMAT4609, 10.1038/nmat4609]; Sreekanth KV, 2013, SCI REP-UK, V3, DOI 10.1038/srep03291; Vahaplar K, 2009, PHYS REV LETT, V103, DOI 10.1103/PhysRevLett.103.117201; Visnovsky S., 2006, OPTICS MAGNETIC MULT; Wang XJ, 2021, SMALL, V17, DOI 10.1002/smll.202007222; Wang XJ, 2020, ACS APPL MATER INTER, V12, P45015, DOI 10.1021/acsami.0c14937; Wang XJ, 2020, NANO LETT, V20, P6614, DOI 10.1021/acs.nanolett.0c02440; Wei DX, 2017, OPT MATER EXPRESS, V7, P2672, DOI 10.1364/OME.7.002672; Zvezdin A. K., 1997, MODERN MAGNETOOPTICS</t>
  </si>
  <si>
    <t>10.3390/molecules27165312</t>
  </si>
  <si>
    <t>4A8CE</t>
  </si>
  <si>
    <t>WOS:000845321300001</t>
  </si>
  <si>
    <t>Alvarez, DEB; Calderon, BYO</t>
  </si>
  <si>
    <t>Bohorquez Alvarez, Doris Eliana; Otalora Calderon, Betty Yanet</t>
  </si>
  <si>
    <t>Influence of Didactic Tools and Strategies in the classroom</t>
  </si>
  <si>
    <t>PANORAMA</t>
  </si>
  <si>
    <t>didactics; tools; strategies and techniques; reflection; training</t>
  </si>
  <si>
    <t>The present research seeks to describe the impact that the didactic tools and strategies of the graduates of the Bachelor's Degree in Basic Education with emphasis in Mathematics, Humanities and Spanish Language of CREAD Duitama have had, from their academic training at the normal and upetecist schools to their teaching work. Twenty graduates of the Socha and Soata teacher training colleges who are currently working in educational institutions were surveyed. The contribution of the curricula of the complementary cycles worked from the normal schools and the program in the teacher training of the last two years was analyzed; the influence of the use of didactic tools and strategies in the classroom by the graduates of the program was identified, valuing the contribution from the didactic contribution. Consequently, the generation of reflections is proposed, by means of an online questionnaire based on the implementation of teaching tools, strategies and techniques that promote significant learning. The type of research is descriptive research, as dependent variables are the didactic strategies in the classroom, as independent variables the curriculum of the teacher training program, the didactic tools and strategies, and the training in teaching competencies. The research demonstrates the importance of the use of strategies and tools, not only in physical but also in digital media in the teaching and learning process in the classroom, seen as mediating, motivating and energizing elements for the exercise of the teaching work. It can be concluded that this research demonstrates the positive impact that the degree has and that results in the contribution to the improvement of the educational quality, from the follow-up carried out from the analysis of the results, on the preparation in the different areas of the formative process.</t>
  </si>
  <si>
    <t>[Bohorquez Alvarez, Doris Eliana] UPTC, Idiomas Modernos, Boyaca, Colombia; [Otalora Calderon, Betty Yanet] UPTC, Informat Educ, Boyaca, Colombia</t>
  </si>
  <si>
    <t>Alvarez, DEB (corresponding author), UPTC, Idiomas Modernos, Boyaca, Colombia.</t>
  </si>
  <si>
    <t>doris.bohorquez@uptc.edu.co; betty.otalora@uptc.edu.co</t>
  </si>
  <si>
    <t>Aguerrondo I, 1999, NUEVO PARADIGMA EDUC; Amar V, 2021, REV ELECTRON EDUCARE, V25, P3; Vargas CAB, 2017, REV EDUC-COSTA RICA, V41, DOI 10.15517/revedu.v41i2.17953; Carrillo T., 2001, EDUCERE, V5, P335; Cruz M., 2017, DIDACTICA EDUCACION, V8; Cruz N., 2011, FORMACION PROFESIONA; De Zubiria J, 2013, REV REDIPE; De Zubiria J, 2018, COMO MEJORAR CALIDAD; Delors J., 1996, INFORM UNESCO COMISI; Estrategias y tecnicas didacticas para la ensenanza, 2005, DIR INV DES ED VIC A; Feo R., 2010, TENDENCIAS PEDAGOGIC, V16; Florez R., 1999, EVALUACION PEDAGOGIC; Fontanilla N., 2021, EDUCERE, V25; Garcia V., 2018, REXE REV ESTUDIOS EX, V17, P129; Gutiérrez Vazquez Juan Manuel, 2008, RMIE, V13, P1299; Hernandez R, 2003, METODOLOGIA INVESTIG; Ibanez-Martin J. A, 2001, REV ESP PEDAGOG, V220, P441; Klimenko Olena, 2008, Educ. Educ., V11, P191; Maestre U., 2003, REV PRAXIS ED; Marrero B., 1996, DOCENTE COMO GESTOR; Merani A, 1958, NUESTROS HIJOS ESOS; Ministerio de Educacion Nacional, 2013, COMP TIC DES PROF DO; Moreno-Fernandez O., 2017, REV HUMANID, V30, P11; Oliva H, 2020, EDUCACION TIEMPO PAN; Proyecto Academico Educativo PAE., 2009, PROGR ED BAS CON MAT; Proyecto Educativo Institucional PEI, 2019, ESC NORM SUP SOCH; Ruiz-Espinosa F., 2021, REV ELECTRONICA EDUC, V5; Sanjurjo L., 1994, APRENDIZAJE SIGNIFIC; Braicovich RS, 2021, SOPHIA-COLECCION FIL, P203, DOI 10.17163/soph.n30.2021.07; Sierra J, 2005, REV VIRTUAL; Silva J., 2010, REV INNOVACION ED, V10, P13; Soler Vicente, 2008, CONTRIBUCIONES CIENC; Torroella G, 2001, REV LAT AM PSICOL</t>
  </si>
  <si>
    <t>INST UNIV POLITECNICO GRANCOLOMBIANO</t>
  </si>
  <si>
    <t>CALLE 57 NUMERO 3-00 ESTE BLOQUE A, PRIMER PISO, BOGOTA, 00000, COLOMBIA</t>
  </si>
  <si>
    <t>1909-7433</t>
  </si>
  <si>
    <t>2145-308X</t>
  </si>
  <si>
    <t>Panarama</t>
  </si>
  <si>
    <t>3F2KD</t>
  </si>
  <si>
    <t>WOS:000830498600001</t>
  </si>
  <si>
    <t>Nogueira, AAE; Nogueira, ACR; Neita, JSG; Soares, JL; da Silva, JPC; Amorim, KB; Romero, GR</t>
  </si>
  <si>
    <t>Nogueira, Anna Andressa Evangelista; Nogueira, Afonso Cesar Rodrigues; Neita, Juan Sebastian Gomez; Soares, Joelson Lima; da Silva Junior, Jose Bandeira Cavalcante; Amorim, Kamilla Borges; Romero, Guilherme Raffaeli</t>
  </si>
  <si>
    <t>Taphonomic feedback, paleoecology, and ostracod biostratigraphy of the Oligocene-Miocene carbonate deposits in the onshore Para-Maranhao Basin, Northern Brazil</t>
  </si>
  <si>
    <t>JOURNAL OF SOUTH AMERICAN EARTH SCIENCES</t>
  </si>
  <si>
    <t>Bragantina Platform; Oligocene-Miocene; Pirabas Formation; Taphofacies; Carbonate platform</t>
  </si>
  <si>
    <t>PIRABAS FORMATION; ENTOBIA ICHNOFACIES; SHELL BEDS; PARA STATE; EVOLUTION; CRUSTACEA; NEOGENE; STEPHENSON; BIOEROSION; AMAZONIA</t>
  </si>
  <si>
    <t>The Oligocene-Miocene carbonates of the Bragantina Platform are represented by densely fossiliferous rocks, which overlay the basement of the Northern Brazilian coast. Outcrop-based stratigraphy analysis combined with petrography, taphonomy, paleoecology, and ostracod biostratigraphy was carried out in the eight (8) m-thick of the Neogene mixed carbonate-siliciclastic succession exposed mainly in the Atalaia Beach. This outcrop is the classical exposure of the Pirabas Formation, generally overlaid by the siliciclastic deposits of the middle Miocene Barreiras Formation. The taphonomic signature in the last carbonate beds of this sedimentary succession in-dicates intense storms as autogenic processes succeeded by rapid allogenic burial by Barreiras' deposits. These processes caused death, disarticulation, and accumulation of the benthic communities in the shallow platform, forming a coquina substrate (Taphofacies 1). During a low-energy period, shell-gravel-dwelling individuals represented mainly by Turbinella tuberculata and Mercenaria prototypa colonized this carbonate hardground (Taphofacies 2). Forced regression of Barreiras' siliciclastics caused a fast shift of continental facies over coastal carbonate zones. The rapid burial culminated in the death of benthic communities creating a geochemical environment propitious for the pyritization of shells, leaves, and trunks (Taphofacies 3). The ostracod bio-zonation formed by the Cytherella stainforthi biozone and by the Quadracythere brachypygaia, Jugosocythereis pannosa, and Neocaudites macertus sub-biozones support the paleoenvironmental interpretation, chro-nocorrelation with the Caribbean units and confirm the Miocene age for this carbonate succession. Although taphonomic, paleoecologic, and biostratigraphic studies were carried out in a unique occurrence of the Pirabas Formation. These high-resolution stratigraphy analysis allowed the discovery of the details of this burial event that led to the shutdown of carbonate fabric on the Eastern Amazon Coast.</t>
  </si>
  <si>
    <t>[Nogueira, Anna Andressa Evangelista; Nogueira, Afonso Cesar Rodrigues; Soares, Joelson Lima; da Silva Junior, Jose Bandeira Cavalcante; Amorim, Kamilla Borges] Univ Fed UFPA Para, Inst Geociencias, Programa Posgrad Geol &amp; Geoquim PPGG, Rua Augusto Correa S-N, BR-66075110 Belem, Para, Brazil; [Neita, Juan Sebastian Gomez] Univ Fed Rio Grande Sul UFRS, Inst Geociencias, Programa Posgrad Geociencias PPGGEO, Av Bento Goncalves 9500, BR-91501970 Porto Alegre, RS, Brazil; [Neita, Juan Sebastian Gomez] Univ Pedag &amp; Tecnol Colombia UPTC, Fac Sede Secc Sogamoso, Programa Ingn Geol, Calle 4 15-134, Sogamoso, Boyaca, Colombia; [Amorim, Kamilla Borges] Univ Fed Mato Grosso, Fac Geociencias, Av Fernando Correa Costa 2367, BR-78060900 Cuiaba, MT, Brazil; [Romero, Guilherme Raffaeli] Univ Sao Paulo, Inst Geociencias, Dept Geol Sedimentar &amp; Ambiental, Rua Lago 562, BR-05508080 Sao Paulo, SP, Brazil</t>
  </si>
  <si>
    <t>Universidade Federal do Rio Grande do Sul; Universidad Pedagogica y Tecnologica de Colombia (UPTC); Universidade Federal de Mato Grosso; Universidade de Sao Paulo</t>
  </si>
  <si>
    <t>Nogueira, AAE (corresponding author), Univ Fed UFPA Para, Inst Geociencias, Programa Posgrad Geol &amp; Geoquim PPGG, Rua Augusto Correa S-N, BR-66075110 Belem, Para, Brazil.</t>
  </si>
  <si>
    <t>aenogueira@ufpa.br</t>
  </si>
  <si>
    <t>Fundacao de Amparo a Pesquisa do Estado do Para [FAPESPA ICAAF 007/2014]; CNPq (National Council for Scientific and Technological Development in Brazil) [162899/2020-3]; Human Resource Program of The Brazilian National Agency for Petroleum, Natural Gas, and Biofuels -PRH-ANP [50/2015]</t>
  </si>
  <si>
    <t>Fundacao de Amparo a Pesquisa do Estado do Para(Fundacao Amazonia de Amparo a Estudos e Pesquisas (FAPESPA)); CNPq (National Council for Scientific and Technological Development in Brazil)(Conselho Nacional de Desenvolvimento Cientifico e Tecnologico (CNPQ)); Human Resource Program of The Brazilian National Agency for Petroleum, Natural Gas, and Biofuels -PRH-ANP</t>
  </si>
  <si>
    <t>We want to express our sincere gratitude to Fundacao de Amparo a Pesquisa do Estado do Para (FAPESPA ICAAF 007/2014), coordinated by A.C.R. Nogueira, which the research was financed; to the Laboratory of Sedimentology (IG/GSED/UFPA) and Microanalysis Laboratory from the Geosciences Institute (IG/UFPA) for the infrastructure available for this work. We thank the CNPq (National Council for Scientific and Technological Development in Brazil) (CNPq -No 162899/2020-3) for granting the scholarship of Post-Doctoral Junior Modality (CNPQ/PDJ) awarded to the first author for the support and completion of this paper. Guilherme Raffaeli Romero thanks the Human Resource Program of The Brazilian National Agency for Petroleum, Natural Gas, and Biofuels -PRH-ANP, supported with resources from oil companies considering the contract clause no 50/2015 for the Post-Doc Scholarship.</t>
  </si>
  <si>
    <t>Aguilera O, 2014, J S AM EARTH SCI, V56, P422, DOI 10.1016/j.jsames.2014.09.021; Aguilera O, 2020, SEDIMENT GEOL, V407, DOI 10.1016/j.sedgeo.2020.105739; Aguilera O, 2020, MAR MICROPALEONTOL, V154, DOI 10.1016/j.marmicro.2019.101813; Aguilera Socorro Orangel, 2012, Boletim do Museu Paraense Emilio Goeldi Ciencias Naturais, V7, P29; Almaraz J.S.U., 1977, THESIS U FEDERAL RIO; Antonioli L, 2015, J S AM EARTH SCI, V62, P134, DOI 10.1016/j.jsames.2015.05.005; Arai M., 1997, REV UNIV GUARULHOS G, V582, P98; Arai M., 1988, CONGRESSO BRASILEIRO, V2, P738; Armstrong H.A., 2005, MICROFOSSILS, V2, P25, DOI [10.1002/9781118685440.ch4, DOI 10.1002/9781118685440.CH4]; BARKER D, 1983, MAR MICROPALEONTOL, V8, P51, DOI 10.1016/0377-8398(83)90004-X; Belaustegui Z, 2018, PALAIOS, V33, P16, DOI 10.2110/palo.2017.082; Berggren William A., 1995, V54, P129; Bertels A., 1977, Developments in Palaeontology and Stratigraphy, V6, P441; Best MMR, 2000, PALEOBIOLOGY, V26, P80, DOI 10.1666/0094-8373(2000)026&lt;0080:BTITMS&gt;2.0.CO;2; Blow W.H., 1969, Proceedings of the International Conference on Planktonic Microfossils, V1, P199; Bold W.A., 1983, APPL OSTRACODA P 8 I, P400; Bold W. A.van den, 1963, Micropaleontology, V9, P361, DOI 10.2307/1484501; Boomer I., 2003, BRIDGING GAP TRENDS, V9, P153, DOI 10.1017/s1089332600002199; Brady G. S., 1869, FONDS MER, V1, P113; Brandao J., 1994, B GEOCIENCIAS PETROB, V8, P91; BRITO IM, 1972, AN ACAD BRAS CIENC, V44, P95; Bromley R.G., 1984, RIV ITAL PALEONTOL S, V90, P2; Calcinai B, 2005, ZOOL STUD, V44, P5; Camacho H.H., 2008, INVERTEBRADOS FOSILE, V1, P800; Chinelatto GF, 2020, MAR PETROL GEOL, V116, DOI 10.1016/j.marpetgeo.2020.104317; Coimbra J.C., 2002, Revista Espanola de Micropaleontologia, V34, P187; Conrad T.A., 1855, P ACAD NAT SCI PHILA, V7, P265; COOPER MA, 1995, AAPG BULL, V79, P1421; Cruz AM, 2019, MAR PETROL GEOL, V105, P185, DOI 10.1016/j.marpetgeo.2019.04.009; Dattilo BF, 2008, CAN J EARTH SCI, V45, P243, DOI 10.1139/E07-060; de Araojo Tavora Vladimir, 2005, Arquivos do Museu Nacional Rio de Janeiro, V63, P459; de Araujo HI, 2015, PALAEOGEOGR PALAEOCL, V437, P1, DOI 10.1016/j.palaeo.2015.07.009; De Gibert JM, 1998, PALAIOS, V13, P476; De Gibert JM, 2007, ACTA PALAEONTOL POL, V52, P783; Dewi K.T., 2007, B MAR GEOL, V22, P1; Dunham R.J., 1962, AAPG BULL, V1, P108, DOI DOI 10.1306/M1357; El-Hedeny M, 2018, ANN SOC GEOL POL, V88, P1, DOI 10.14241/asgp.2018.002; Nogueira AAE, 2019, ZOOTAXA, V4573, P1, DOI 10.11646/zootaxa.4573.1.1; Nogueira AAE, 2017, J S AM EARTH SCI, V80, P389, DOI 10.1016/j.jsames.2017.10.006; Nogueira AAE, 2016, J S AM EARTH SCI, V65, P101, DOI 10.1016/j.jsames.2015.11.007; Evangelista Nogueira Anna Andressa, 2011, Revue de Micropaleontologie, V54, P215, DOI 10.1016/j.revmic.2011.10.003; Fernandes J.M.G., 1984, 33 BRAZILIAN C GEOLO, V1, P330; Ferreira C.D., 1964, NOVO XANCUS FORMACAO, V10, P1; Ferreira C. S., 1970, Bolm Mus. para. Emilio Goeldi (Geol.), VNo. 15, P1; Ferreira C.S., 1973, REV BRAS GEOCIENCIAS, V3, P60; Ferreira-Penna D.S, 1876, BREVES NOTICIAS SAMB, V1, P85; Figueiredo J, 2009, GEOLOGY, V37, P619, DOI 10.1130/G25567A.1; Goes, 2004, NEOGENO AMAZONIA ORI; Goes A.M., 1990, B MUSEU PARAENSE EMI, V2, P3; Goes A.M., 1980, 31 C BRASSILEIRO GEO, V2, P766; Guan CG, 2017, PALAEOGEOGR PALAEOCL, V474, P26, DOI 10.1016/j.palaeo.2016.05.013; Guiraud R, 2005, J AFR EARTH SCI, V43, P83, DOI 10.1016/j.jafrearsci.2005.07.017; Hammer Oyvind, 2001, Palaeontologia Electronica, V4, pUnpaginated; HAQ BU, 1987, SCIENCE, V235, P1156, DOI 10.1126/science.235.4793.1156; Heilprin A., 1887, Transactions of the Wagner Institute, Vi, P1; Jaramillo CA, 2011, PALYNOLOGY, V35, P46, DOI 10.1080/01916122.2010.515069; KIDWELL S M, 1986, Palaios, V1, P228, DOI 10.2307/3514687; KIDWELL SM, 1986, PALEOBIOLOGY, V12, P6, DOI 10.1017/S0094837300002943; KIDWELL SM, 1988, PALAEOGEOGR PALAEOCL, V63, P201, DOI 10.1016/0031-0182(88)90097-1; Leite F.P.R., 1997, THESIS U SAO PAULO B; Lindberg, 2019, BIOL EVOLUTION MOLLU; Martinell J, 1999, B GEOL SOC DENMARK, V45, P161; Martinez S, 2017, NEUES JAHRB GEOL P-A, V284, P57, DOI 10.1127/njgpa/2017/0650; Maury C. J., 1925, MONOGRAFIA SERVICO G, V4, P1; Moizinho GR, 2022, PALAEOGEOGR PALAEOCL, V587, DOI 10.1016/j.palaeo.2021.110799; MOORE RC, 1961, TREATISE INVERTEBR Q, V3; Nagy J, 2016, POLAR RES, V35, DOI 10.3402/polar.v35.24192; Nogueira A.A.E., 2018, B MUSEU GEOCIENCIAS, V3, DOI 10.31419/; Pereira S.R.C., 2009, BIOEROSAO MEGACARDIT; Perez M.A.B., 2022, THESIS UFPA BRASIL; Petri S., 1957, Boletim Univ Sao Paulo Fac Filos Cienc Let, V216, P1; Puga-Bernabeu A, 2017, PALAEOGEOGR PALAEOCL, V471, P1, DOI 10.1016/j.palaeo.2017.01.033; Reis AT, 2016, MAR PETROL GEOL, V75, P29, DOI 10.1016/j.marpetgeo.2016.04.011; Nogueira ACR, 2021, PALAEOGEOGR PALAEOCL, V563, DOI 10.1016/j.palaeo.2020.110178; Rojas LEG, 2022, J S AM EARTH SCI, V120, DOI 10.1016/j.jsames.2022.104035; Rossetti D. F, 2004, NEOGENO AMAZONIA ORI, P13; Rossetti DD, 2001, J S AM EARTH SCI, V14, P77; Rossetti DF, 2013, EARTH-SCI REV, V123, P87, DOI 10.1016/j.earscirev.2013.04.005; Rossetti DF, 2009, AN ACAD BRAS CIENC, V81, P741, DOI 10.1590/S0001-37652009000400012; Ruiz F, 2003, PALAEOGEOGR PALAEOCL, V199, P51, DOI 10.1016/S0031-0182(03)00485-1; Said R, 1962, GEOLOGY EGYPT, V2, P377; Salvador A., 2013, INT STRATIGRAPHIC GU; Santos Marchesini, 1958, DIVISA O GEOLOGIA MI, V179, P1; Schaller H.E., 1971, C BRASILEIRO GEOLOGI, V25, P189; Silva C.B.S., 2016, THESIS UFPA BRASIL; Tagliavento M, 2020, CRETACEOUS RES, V106, DOI 10.1016/j.cretres.2019.104223; Tavora V., 2010, B MUSEU PARAENSE EMI, V5, P207, DOI DOI 10.46357/BCNATURAIS.V5I2.644; Tucker M.E, 2003, SEDIMENTARY PETROLOG; van den Bold W. A., 1970, Micropaleontology, V16, P61, DOI 10.2307/1484848; Van Den BOLD W. A., 1965, MICROPALEONTOLOGY, V11, P381; VAN DEN BOLD W. A., 1960, MICROPALEONTOLOGY, V6, P145; van den Bold W.A., 1988, Bulletins of American Paleontology, V94, P1; Vasquez M.L., 2008, MAPA GEOLOGICO SIG; Voigt E., 1965, Palaeontologische Zeitschrift, V39, P193; Wade BS, 2011, EARTH-SCI REV, V104, P111, DOI 10.1016/j.earscirev.2010.09.003; Walker R., 1992, FACIES MODEL RESPONS; Whatley R.C., 1988, P245; Whatley R.C., 1988, EVOLUTIONARY BIOL OS, P341; Whatley R. C., 1983, APPL OSTRACODA, P51; White C., 1887, ARCH MUSEU NACL RIO, V7, P1; Wolff B., 1984, SECAO EXPLORACAO PET, V13, P102</t>
  </si>
  <si>
    <t>0895-9811</t>
  </si>
  <si>
    <t>1873-0647</t>
  </si>
  <si>
    <t>J S AM EARTH SCI</t>
  </si>
  <si>
    <t>J. South Am. Earth Sci.</t>
  </si>
  <si>
    <t>10.1016/j.jsames.2022.104189</t>
  </si>
  <si>
    <t>8N2FJ</t>
  </si>
  <si>
    <t>WOS:000924965100001</t>
  </si>
  <si>
    <t>Rodriguez, CEA; Pedreros, MDP; Velez, BLB</t>
  </si>
  <si>
    <t>Arteaga Rodriguez, Carlos Eduardo; Parra Pedreros, Marco David; Bustamante Velez, Blanca Lucia</t>
  </si>
  <si>
    <t>The Ideology of Peace in the Semana Headlines</t>
  </si>
  <si>
    <t>discourse analysis; peace process; ideology and power; journalistic discourse; written press</t>
  </si>
  <si>
    <t>The article analyzes the press headlines of the magazine Semana in order to unravel the ideology promoted by it regarding the peace process in the first fourth months of Ivan Duque's government. For this, the way in which the different post conflict actors were presented and named is identified, the discursive strategies used in the magazine were analyzed, in addition to the rhetorical language and its discursive implications. The paradigm that guides the study is the socio-critical one with a qualitative approach. The type of research is the critical analysis of the discourse. The analysis and interpretation method considers three stages: corpus exploratory, descriptive exploratory and analytical exploratory. A subcorpus of 23 headlines was taken. It is concluded that in its journalistic discourse the magazine creates and ideological structure about the beliefs, attitudes and values of different actors, establishing opinion groups in favor of the peace process and against the positions and decisions of the president that harm the process.</t>
  </si>
  <si>
    <t>[Arteaga Rodriguez, Carlos Eduardo] Univ Tolima, Ibague, Colombia; [Parra Pedreros, Marco David] Univ Nacl Colombia, 4, Bogota, Colombia; [Parra Pedreros, Marco David] Univ Catolica Colombia, Gobierno &amp; Gest Desarrollo Dept &amp; Municipal, Bogota, Colombia; [Bustamante Velez, Blanca Lucia] Univ Antioquia, Medellin, Colombia; [Bustamante Velez, Blanca Lucia] Univ Pedag &amp; Tecnol Colombia, Escuela Idiomas, Tunja, Colombia</t>
  </si>
  <si>
    <t>Universidad del Tolima; Universidad Nacional de Colombia; Universidad de Antioquia; Universidad Pedagogica y Tecnologica de Colombia (UPTC)</t>
  </si>
  <si>
    <t>Rodriguez, CEA (corresponding author), Univ Tolima, Ibague, Colombia.</t>
  </si>
  <si>
    <t>eduardoar123@hotmail.com; mdavidpp@gmail.com; lucia.bustamante@uptc.edu.co</t>
  </si>
  <si>
    <t>Aguillon P, 2011, B LINGUIST, P35; ÁLVAREZ ROMERO LUZMILA, 2016, Cuad. linguist. hisp., P69, DOI 10.19053/0121053X.4909; Cairo H, 2019, REV ESP CIENC POLIT-, P91, DOI 10.21308/recp.50.04; Chaoudri I, 2016, THESIS U ALICANTE ES; Charaudeau P., 2002, DESIGNIS, P109; Londono O, 2013, ENTREVISTA TA VANDIJ; Pizarro TM, 2018, QUESTION, V1, DOI 10.24215/16696581e057; Monedero J. C, 2016, LENGUAJE IDEOLOGIA P, V2; Ortiz A., 2015, ENFOQUES METODOS INV; Palacios J., 2019, 1 C INT CIENC HUM HU; Pardo N., 2013, CUAD LINGUIST HISP, P41; Pardo N., 2013, COMO HACER ANALISIS; Sanchez J. P, 2006, REV PERFILES LATINOA, V27, P193; Van Dijk T. A., 2003, IDEOLOGIA DISCURSO; Van Dijk T. A, 2004, TEXT GRAMMAR CRITICA, P46; van Dijk T.A., 1996, NOTICIA COMO DISCURS; Van Dijk T. A., 1994, C U VALL DICT OCT 19; van Dijk T. A., 2009, DISCURSO PODER CONTR; Van Dijk Teun, 1999, ANALISIS DISCURSO SO; VanDijk T, 1999, IDEOLOGIA</t>
  </si>
  <si>
    <t>e13511</t>
  </si>
  <si>
    <t>10.19053/0121053X.n39.2022.13511</t>
  </si>
  <si>
    <t>ZP7ZF</t>
  </si>
  <si>
    <t>WOS:000766637600002</t>
  </si>
  <si>
    <t>Hurtado-Parrado, C; Cifuentes, JD; Henao, K; Bohorquez, C; Sanchez, C; Forigua, JC; Arias-Higuera, M; Velasquez, JC; Acevedo-Triana, C</t>
  </si>
  <si>
    <t>Hurtado-Parrado, Camilo; Cifuentes, Julian D.; Henao, Karen; Bohorquez, Carolina; Sanchez, Christian; Forigua, Juan Carlos; Arias-Higuera, Monica; Velasquez, Julian Camilo; Acevedo-Triana, Cesar</t>
  </si>
  <si>
    <t>Wait and See : Effects of Matching Visual Stimulation on Impulsive Behavior during an Adaptation of Flora et al.'s (1992) Choice Task</t>
  </si>
  <si>
    <t>PSYCHOLOGICAL RECORD</t>
  </si>
  <si>
    <t>Impulsive behavior; Self-control behavior; Matching-to-sample; International affective picture system (IAPS); Aversive control</t>
  </si>
  <si>
    <t>HUMAN SELF-CONTROL; GENDER-DIFFERENCES; VERBAL-BEHAVIOR; DELAY; CONTINGENCY; PICTURES; RATS</t>
  </si>
  <si>
    <t>Flora et al. (The Psychological Record, 42(4), 505-517, 1992, The Psychological Record, 53, 243-252, 2003) reported that response-independent aversive noise and cold water increased impulsive responses during a choice task in which participants earned points exchangeable for money. The impulsive option immediately produced 2 points. The self-controlled option produced 10 points after a 16-s delay. Common to those studies was the pain-related nature of the aversive stimulation implemented; however, it is unknown if other types of aversive stimulation (e.g., symbolic, nonpain-related; Crosbie, 1998) would produce the same effect. The present study tested if aversive images from the International Affective Picture System (IAPS; Bradley &amp; Lang, 2007) increased impulsive responses during a systematic replication of Flora et al.'s (The Psychological Record, 42(4), 505-517, 1992) procedure. During interspersed trials added to the original choice task, college students (126; 60 men, 66 women) searched for a stimulus hidden in aversive, appetitive, or neutral IAPS images. This matching-to-sample task was intended to increase interaction with the images. Preference for the self-control option was observed in the absence of matching trials, which replicated Flora et al.'s (The Psychological Record, 42(4), 505-517, 1992) control condition and underscored the generality of the choice task. Matching IAPS images, irrespective of their valence, increased the number of impulsive responses, reaching indifference. This pattern of indifference resembled that observed in previous studies in which both aversive or nonaversive stimuli (noise and lukewarm water) were implemented. Procedural aspects possibly explain these results, including aversive or distracting effects of frequent failure to match the images, weak-eliciting functions of the visual stimuli, or differences in trial-by-trial and overall (all trials) rates of reinforcement. Flora et al.'s task overall shows promise to continue studying how contextual factors may affect impulsive behavior, including other aversive stimuli (e.g., point loss).</t>
  </si>
  <si>
    <t>[Hurtado-Parrado, Camilo; Cifuentes, Julian D.] Southern Illinois Univ, Sch Psychol &amp; Behav Sci, Carbondale, IL 62901 USA; [Hurtado-Parrado, Camilo; Bohorquez, Carolina; Sanchez, Christian; Forigua, Juan Carlos; Arias-Higuera, Monica; Velasquez, Julian Camilo] Fdn Univ Konrad Lorenz, Dept Psychol, Bogota, Colombia; [Henao, Karen] Univ Nacl Colombia, Dept Psychol, Bogota, Colombia; [Acevedo-Triana, Cesar] Univ Pedag &amp; Tecnol Colombia, Sch Psychol, Tunja, Colombia</t>
  </si>
  <si>
    <t>Southern Illinois University System; Southern Illinois University; Universidad Nacional de Colombia; Universidad Pedagogica y Tecnologica de Colombia (UPTC)</t>
  </si>
  <si>
    <t>Hurtado-Parrado, C (corresponding author), Southern Illinois Univ, Sch Psychol &amp; Behav Sci, Carbondale, IL 62901 USA.;Hurtado-Parrado, C (corresponding author), Fdn Univ Konrad Lorenz, Dept Psychol, Bogota, Colombia.</t>
  </si>
  <si>
    <t>camilo.parrado@siu.edu</t>
  </si>
  <si>
    <t>VELASQUEZ LANCHEROS, JULIAN CAMILO/HOA-4686-2023; Hurtado-Parrado, Camilo/G-3032-2011</t>
  </si>
  <si>
    <t>VELASQUEZ LANCHEROS, JULIAN CAMILO/0000-0002-1177-9190; Hurtado-Parrado, Camilo/0000-0001-5923-8054</t>
  </si>
  <si>
    <t>Fundacion Universitaria Konrad Lorenz [9IN15151]</t>
  </si>
  <si>
    <t>Fundacion Universitaria Konrad Lorenz</t>
  </si>
  <si>
    <t>This study was partially funded by Fundacion Universitaria Konrad Lorenz (Grant number 9IN15151).</t>
  </si>
  <si>
    <t>Acevedo-Triana C, 2021, ACTA NEUROPSYCHOL, V19, P33; [Anonymous], 2010, Am Psychol, V65, P493, DOI 10.1037/a0020168; Azevedo TM, 2005, PSYCHOPHYSIOLOGY, V42, P255, DOI 10.1111/j.1469-8986.2005.00287.x; Beck RC, 2009, EXP CLIN PSYCHOPHARM, V17, P345, DOI 10.1037/a0017078; Berry MS, 2015, PLOS ONE, V10, DOI 10.1371/journal.pone.0141030; Berry MS, 2014, PLOS ONE, V9, DOI 10.1371/journal.pone.0097915; Berto R, 2005, J ENVIRON PSYCHOL, V25, P249, DOI 10.1016/j.jenvp.2005.07.001; Bradley MM, 2001, EMOTION, V1, P300, DOI 10.1037//1528-3542.1.3.300; Brunner D, 1997, ANN NY ACAD SCI, V836, P81, DOI 10.1111/j.1749-6632.1997.tb52356.x; CATANIA AC, 1982, J EXP ANAL BEHAV, V38, P233, DOI 10.1901/jeab.1982.38-233; Catania C, 1989, RULE GOVERNED BEHAV, P119, DOI DOI 10.1007/978-1-4757-0447-1_4; Crosbie J., 1998, HDB RES METHODS HUMA, V1st, P163, DOI [10.1007/ 978-1-4899-1947-2, DOI 10.1007/978-1-4899-1947-2, DOI 10.1007/978-1-4899-1947-2_6]; Dreher JC, 2007, P NATL ACAD SCI USA, V104, P2465, DOI 10.1073/pnas.0605569104; Engelhardt CR, 2011, J EXP SOC PSYCHOL, V47, P1033, DOI 10.1016/j.jesp.2011.03.027; Fattore L, 2016, ADDICT BIOL, V21, P1043, DOI 10.1111/adb.12381; Feja M, 2015, BEHAV PROCESS, V121, P13, DOI 10.1016/j.beproc.2015.10.011; Fligner MA., 1982, AUST J STAT, V36, P119, DOI [10.1111/j.1467-9574.1982.tb00783.x, DOI 10.1111/J.1467-9574.1982.TB00783.X]; Flora SR, 2005, TEACH PSYCHOL, V32, P267; FLORA SR, 1992, PSYCHOL REC, V42, P505, DOI 10.1007/BF03399618; Flora SR, 2003, PSYCHOL REC, V53, P243, DOI 10.1007/BF03395443; Gantiva C, 2019, REV LAT AM PSICOL, V51, P93, DOI 10.14349/rlp.2019.v51.n2.5; GANTIVA DÍAZ CARLOS ANDRÉS, 2011, Act.Colom.Psicol., V14, P103; Hantula DA, 2019, PERSPECT BEHAV SCI, V42, P1, DOI 10.1007/s40614-019-00194-2; Hillside NJ., 1988, STAT POWER ANAL BEHA, V2nd ed, DOI DOI 10.4324/9780203771587; Hollander M., 1999, NONPARAMETRIC STAT M; Hosseini-Kamkar N, 2014, FRONT NEUROSCI-SWITZ, V8, P1, DOI 10.3389/fnins.2014.00233; Hurtado-Parrado C, 2020, PEACE CONFL, V26, P202, DOI 10.1037/pac0000451; Hurtado-Parrado C, 2016, LEARN MOTIV, V55, P13, DOI 10.1016/j.lmot.2016.05.006; Johnston J M, 1979, Behav Anal, V2, P1; Kudadjie-Gyamfi E, 2002, BEHAV PROCESS, V57, P29, DOI 10.1016/S0376-6357(01)00205-4; Laakso A, 2002, BIOL PSYCHIAT, V52, P759, DOI 10.1016/S0006-3223(02)01369-0; Lang P. J., 2007, HDB EMOTION ELICITAT, P29; Locey ML, 2020, PERSPECT BEHAV SCI, V43, P655, DOI 10.1007/s40614-020-00264-w; LOGUE AW, 1990, LEARN MOTIV, V21, P340, DOI 10.1016/0023-9690(90)90013-E; LOGUE AW, 1986, J EXP ANAL BEHAV, V46, P159, DOI 10.1901/jeab.1986.46-159; LOGUE AW, 1988, BEHAV BRAIN SCI, V11, P665, DOI 10.1017/S0140525X00053978; LOGUE AW, 1985, BEHAV PROCESS, V10, P355, DOI 10.1016/0376-6357(85)90036-1; Lovallo WR, 2013, ALCOHOL CLIN EXP RES, V37, P616, DOI 10.1111/acer.12016; Madden GJ, 2008, J EXP ANAL BEHAV, V90, P333, DOI 10.1901/jeab.2008.90-333; Marazziti D, 2010, NEUROPSYCH DIS TREAT, V6, P9; MATTHEWS BA, 1985, J EXP ANAL BEHAV, V43, P155, DOI 10.1901/jeab.1985.43-155; Mitchell LA, 2004, J PAIN, V5, P233, DOI 10.1016/j.jpain.2004.03.004; Mitchell MR, 2015, FRONT PSYCHIATRY, V6, DOI 10.3389/fpsyt.2015.00024; Munro CA, 2006, BIOL PSYCHIAT, V59, P966, DOI 10.1016/j.biopsych.2006.01.008; Perone M, 2019, PERSPECT BEHAV SCI, V42, P91, DOI 10.1007/s40614-018-0153-x; RACHLIN H, 1972, J EXP ANAL BEHAV, V17, P15, DOI 10.1901/jeab.1972.17-15; Sanchez EO, 2022, NEUROSCI BIOBEHAV R, V137, DOI 10.1016/j.neubiorev.2022.104638; Saunders K.J., 1998, HDB RES METHODS HUMA, P193, DOI [DOI 10.1007/978-1-4899-1947-2, 10.1007/978-1-4899-1947-2_7]; Silva JR, 2011, TER PSICOL, V29, P251, DOI 10.4067/S0718-48082011000200012; Silverman IW, 2003, SEX ROLES, V49, P451, DOI 10.1023/A:1025872421115; Soutschek A, 2017, NAT HUM BEHAV, V1, P819, DOI 10.1038/s41562-017-0226-y; Szycik GR, 2017, BRAIN IMAGING BEHAV, V11, P736, DOI 10.1007/s11682-016-9549-y; Ventricelli M, 2013, BEHAV PROCESS, V100, P146, DOI 10.1016/j.beproc.2013.09.001; Weinstein A., 2015, CURR BEHAV NEUROSCI, V2, P9, DOI DOI 10.1007/S40473-015-0031-8; Wilson KA, 2020, SCI REP-UK, V10, DOI 10.1038/s41598-020-66109-3</t>
  </si>
  <si>
    <t>0033-2933</t>
  </si>
  <si>
    <t>2163-3452</t>
  </si>
  <si>
    <t>PSYCHOL REC</t>
  </si>
  <si>
    <t>Psychol. Rec.</t>
  </si>
  <si>
    <t>2023 FEB 28</t>
  </si>
  <si>
    <t>10.1007/s40732-023-00536-2</t>
  </si>
  <si>
    <t>9L1EV</t>
  </si>
  <si>
    <t>WOS:000941300100001</t>
  </si>
  <si>
    <t>Reales, TDM; Pena, CGF; Vasquez, HT</t>
  </si>
  <si>
    <t>Mendoza Reales, Teresa de Jesus; Florez Pena, Carmen Graciela; Torres Vasquez, Henry</t>
  </si>
  <si>
    <t>Comprehensive Reparation for the Unborn Victims of the Colombian Armed Conflict</t>
  </si>
  <si>
    <t>PROLEGOMENOS-DERECHOS Y VALORES</t>
  </si>
  <si>
    <t>internal conflict; transitional justice; repair; nasciturus; victims</t>
  </si>
  <si>
    <t>in some legislations, the unborn child is considered a person, as a result of the conviction that life and the person who contains it arise from the moment of conception. In other legislations, when someone is born, he is alive and completely separated from the mother, from that moment he is a person and a subject of rights. However, the fact that the fetus does not yet have the status of a person does not imply that it is totally devoid of rights. The Colombian Constitution reserves several rights, including the right to life, which, by the way, in our legislation is considered a person from the very moment of fertilization. However, even if the child is not yet a person, under current legislation, the unborn child has rights that must be safeguarded by the State and his or her lack of protection must give rise to processes of reparation or international responsibilities. This work explores the conditions in which the unborn child can be recognized as a victim and the mechanisms of reparation that would eventually be the most appropriate, based on jurisprudence and other precedents.</t>
  </si>
  <si>
    <t>[Mendoza Reales, Teresa de Jesus] Derechos Humanos, Derecho Penal &amp; Criminol, Bogota, Colombia; [Florez Pena, Carmen Graciela] Derechos Humanos, Bogota, Colombia; [Torres Vasquez, Henry] Univ Jaime I de Castellon, Sistema Penal, Castellon de La Plana, Castello, Spain; [Torres Vasquez, Henry] Univ Nacl Colombia, Bogota, Colombia; [Torres Vasquez, Henry] Univ Pedag &amp; Tecnol Colombia, Derecho Penal, Tunja, Boyaca, Colombia</t>
  </si>
  <si>
    <t>Reales, TDM (corresponding author), Derechos Humanos, Derecho Penal &amp; Criminol, Bogota, Colombia.</t>
  </si>
  <si>
    <t>tmendoza15@gmail.com; bps2790@gmail.com; henry.torres01@uptc.edu.co</t>
  </si>
  <si>
    <t>[Anonymous], 1995, SENTENCIA C 591 1995; [Anonymous], 1993, SENTENCIA T 179 1993; [Anonymous], 1994, SENTENCIA C 133 1994; [Anonymous], 2011, LEY 1437 2011; [Anonymous], 2006, SENTENCIA C 355 2006; [Anonymous], 2020, CONSTITUCION POLITIC, V18va; [Anonymous], 2012, LEY 1564 2012; [Anonymous], 1998, SENTENCIA T 223 1998; Argote Luz Ángela, 2007, Colomb. Med., V38, P27; Arroyave Hermosa D. M., 2013, ANALISIS JURISPRUDEN; Barco J., 2013, REV JUSTITIA, DOI [10.15332/iust.v0i11.874, DOI 10.15332/IUST.V0I11.874]; Carlos Henao Juan, 2015, Rev. Derecho Privado, P277; CNRR, 2009, MAS SAL ES GUERR ER; Galvis Plaza M. X., 2017, THESIS PONTIFICIA U; Garzon Jimenez R., 2015, THESIS U CASTILLA LA; Grupo de Memoria Historica, 2009, MEM TIEMP GUERR; Guglielmucci A, 2017, REV ESTUD SOC, P83, DOI 10.7440/res59.2017.07; jep, GRAND CAS JEP 07 REC; Laverde Herrera S. A., 2018, PROTECCION DERECHOS; Morineau M., 2006, EVOLUCION FAMILIA JU; Posada Maya R., 2020, NUEVO FORO PENAL, V16, P13, DOI [10.17230/nfp16.94.1, DOI 10.17230/NFP16.94.1]; Real Academia Espanola, DICCIONARIO LENGUA E, V23; Rodriguez A., 2008, CONCEPTO VICTIMA; Uprimny R., 2012, RAZON PUBLICA; Valencia Zea A., 2020, DERECHO 101 VIL TOMO, V1; Vasquez H. T., 2018, ACA DEMIA DERECHO, P137, DOI DOI 10.18041/2215-8944/ACADEMIA.16.5981; Velasquez Posada O., 2006, PERSONA BIOETICA, V10, P85; Villafuerte L., FIDES ET RATIO, V5, P55</t>
  </si>
  <si>
    <t>UNIV MILITAR NUEVA GRANADA</t>
  </si>
  <si>
    <t>FAC DERECHO, SEDE BOGOTA CRA 11 N 101-80, BOGOTA, 00000, COLOMBIA</t>
  </si>
  <si>
    <t>0121-182X</t>
  </si>
  <si>
    <t>1909-7727</t>
  </si>
  <si>
    <t>PROLEGOMENOS</t>
  </si>
  <si>
    <t>Prolegomenos</t>
  </si>
  <si>
    <t>10.18359/prole.5760</t>
  </si>
  <si>
    <t>2T3SP</t>
  </si>
  <si>
    <t>WOS:000822399000004</t>
  </si>
  <si>
    <t>Ortiz-Gonzalez, AD; Buitrago, HAL; Bulla-Castaneda, DM; Lancheros-Buitrago, DJ; Garcia-Corredor, DJ; Diaz-Anaya, AM; Tobon-Torreglosa, JC; Ortiz-Ortega, D; Pulido-Medellin, MO</t>
  </si>
  <si>
    <t>Daniela Ortiz-Gonzalez, Aura; Lopez Buitrago, H. Alexander; Maria Bulla-Castaneda, Diana; Johana Lancheros-Buitrago, D.; Jose Garcia-Corredor, Diego; Maria Diaz-Anaya, Adriana; Cesar Tobon-Torreglosa, Julio; Ortiz-Ortega, Diego; Orlando Pulido-Medellin, Martin</t>
  </si>
  <si>
    <t>Seroprevalence and risk factors associated with bovine herpesvirus 1 in dairy herds of Colombia</t>
  </si>
  <si>
    <t>VETERINARY WORLD</t>
  </si>
  <si>
    <t>cattle; cattle diseases; enzyme-linked immunosorbent assay; Infectious bovine rhinotracheitis</t>
  </si>
  <si>
    <t>VIRAL DIARRHEA VIRUS; RHINOTRACHEITIS; CATTLE; INFECTION; DIAGNOSIS</t>
  </si>
  <si>
    <t>Background and Aim: Infectious bovine rhinotracheitis (IBR) is an infectious disease widely distributed globally and is considered the main cause of various reproductive and respiratory tract diseases in cattle and buffaloes. This study aimed to estimate seroprevalence and determine risk factors associated with the presentation of IBR in the municipality of Sotaquira, Boyaca (Colombia). Materials and Methods: A descriptive cross-sectional study with simple random sampling was performed, and the sample size was 1,000 cattle. Blood samples were obtained by coccygeal venipuncture and processed through indirect enzyme linked immunosorbent assay using the Synbiotics (R) kit (Zoetis, New Jersey, USA) with a sensitivity and specificity of 96% and 98%, respectively. Data were processed using the statistical program EpiInfo (R) (Centers for Disease Control and Prevention; Atlanta, Georgia). Results: A high seroprevalence of 57.5% was established. Seroprevalence was the highest in cattle &gt;4 years of age (65.0% apparent seroprevalence [AS]; 67% true seroprevalence [TS]) and in the Holstein breed (65.5% AS; 67.8% TS). The breed and age of the animals were significantly associated with each other. The Holstein breed, age group &gt;4 years, uncertified semen, and fetal death were established as risk factors for IBR. In comparison, the age groups of &lt;1 and 1-2 years and the Normande breed were established as protective factors against the bovine herpesvirus-1 virus. Conclusion: Management factors, such as livestock from other owners and animal purchases, which affect disease presentation, are evident. The implementation and development of novel prevention and control measures for IBR at the national level are necessary.</t>
  </si>
  <si>
    <t>[Daniela Ortiz-Gonzalez, Aura; Lopez Buitrago, H. Alexander; Maria Bulla-Castaneda, Diana; Johana Lancheros-Buitrago, D.; Jose Garcia-Corredor, Diego; Maria Diaz-Anaya, Adriana; Orlando Pulido-Medellin, Martin] Univ Pedag &amp; Tecnol Colombia, Grp Invest Med Vet &amp; Zootecnia, Tunja, Colombia; [Maria Diaz-Anaya, Adriana] Univ Namur, Doctoral Program Biomed &amp; Pharmaceut Sci, Namur, Belgium; [Cesar Tobon-Torreglosa, Julio] Compania Colombiana Prod Vet, Bogota, Colombia; [Ortiz-Ortega, Diego] Corp Colombiana Invest Agr, Mosquera, Colombia</t>
  </si>
  <si>
    <t>Universidad Pedagogica y Tecnologica de Colombia (UPTC); University of Namur; Corporacion Colombiana de Investigacion Agropecuaria, AGROSAVIA</t>
  </si>
  <si>
    <t>Pulido-Medellin, MO (corresponding author), Univ Pedag &amp; Tecnol Colombia, Grp Invest Med Vet &amp; Zootecnia, Tunja, Colombia.</t>
  </si>
  <si>
    <t>aura.ortiz@uptc.edu.co; henryalexanderlopez@gmail.com; diana.bulla@uptc.edu.co; deisy.lancheros@uptc.edu.co; diegojose.garcia@uptc.edu.co; adrianamaria.diaz@uptc.edu.co; julio.tobon@vecol.com.co; dortiz@agrosavia.co; martin.pulido@uptc.edu.co</t>
  </si>
  <si>
    <t>Lopez, Henrry/0000-0002-6482-2412; Pulido-Medellin, Martin Orlando/0000-0003-4989-1476; Garcia Corredor, Diego Jose/0000-0001-5122-5435; DIAZ ANAYA, ADRIANA MARIA/0000-0002-8192-6379; Bulla-Castaneda, Diana Maria/0000-0002-3740-9454; Lancheros-Buitrago, Deisy Johana/0000-0002-7984-3881; ORTIZ ORTEGA, DIEGO/0000-0002-7042-2829; Tobon Torreglosa, Julio Cesar/0000-0003-2705-3770</t>
  </si>
  <si>
    <t>Corporacion Colombiana de Investigacion Agropecuaria, Colombia [M439]; Vecol - Empresa Colombiana de Productos Veterinarios, Colombia [M439]</t>
  </si>
  <si>
    <t>Corporacion Colombiana de Investigacion Agropecuaria, Colombia; Vecol - Empresa Colombiana de Productos Veterinarios, Colombia</t>
  </si>
  <si>
    <t>The study was funded by the agreement (Grant no. M439) made between Corporacion Colombiana de Investigacion Agropecuaria, Colombia and Vecol - Empresa Colombiana de Productos Veterinarios, Colombia. The authors would like to thank the support from the producers who participated in making this study possible. No one from Vecol was involved at any stage of the study.</t>
  </si>
  <si>
    <t>Abad-Zavaleta J., 2016, Nova scientia, V8, P213; Aguilar R, 2006, REV INVESTIG VET PER, V17, P148; Alcaldia Municipal, 2019, SOT BOYAC; Betancur H César, 2006, Rev.MVZ Cordoba, V11, P830; Chase CCL, 2017, VET MICROBIOL, V206, P69, DOI 10.1016/j.vetmic.2017.03.016; Chen XL, 2018, ACTA TROP, V187, P37, DOI 10.1016/j.actatropica.2018.07.024; Chothe SK, 2018, VIROLOGY, V522, P27, DOI 10.1016/j.virol.2018.06.015; Constable P., 2017, VET MED TXB DIS CATT; Derrar S., 2019, Veterinaria (Sarajevo), V68, P127; Dias JA, 2013, TRANSBOUND EMERG DIS, V60, P39, DOI 10.1111/j.1865-1682.2012.01316.x; Diaz J.C., 2019, PREVALENCIA RINOTRAQ; Duque D., 2014, J AGR ANIM SCI, V3, P58; GARNAUT R, 1992, ECONOMIC REFORM AND INTERNATIONALISATION: CHINA AND THE PACIFIC REGION, P1; Gay E, 2009, PREV VET MED, V89, P265, DOI 10.1016/j.prevetmed.2009.02.013; Graham DA, 2013, IRISH VET J, V66, DOI 10.1186/2046-0481-66-15; ICA, 2019, CENS PEC NAC AN 2019; Kaddour A, 2019, J ADV VET ANIM RES, V6, P60, DOI 10.5455/javar.2019.f312; Mahajan V, 2013, J COMP PATHOL, V149, P391, DOI 10.1016/j.jcpa.2013.05.002; Maresca C, 2018, VET MICROBIOL, V219, P150, DOI 10.1016/j.vetmic.2018.04.013; Marques G.F., 2017, MANUAL VETERINARIO T, V2nd, P40; Martin S., 1987, VET EPIDEMIOLOGY PRI; Motta Giraldo Javier Leonardo, 2013, Rev Salud Anim., V35, P174; Muñoz A. L., 2020, Rev. Med. Vet. Zoot., V67, P9, DOI 10.15446/rfmvz.v67n1.87675; Newcomer BW, 2017, PREV VET MED, V138, P1, DOI 10.1016/j.prevetmed.2017.01.005; Newcomer BW, 2016, VET CLIN N AM-FOOD A, V32, P425, DOI 10.1016/j.cvfa.2016.01.011; Ochoa X, 2012, REV MVZ CORDOBA, V17, P2974, DOI 10.21897/rmvz.231; OIE, 2017, INF BOV RHIN INF PUS; Ortiz González Aura Daniela, 2019, Ces. Med. Vet. Zootec., V14, P18, DOI 10.21615/cesmvz.14.1.2; Posado R., 2013, Arch. zootec., V62, P181, DOI [10.4321/S0004-05922013000200003, 10.4321/s0004-05922013000200003]; Raaperi K, 2010, PREV VET MED, V96, P74, DOI 10.1016/j.prevetmed.2010.06.001; Raaperi K, 2014, VET J, V201, P249, DOI 10.1016/j.tvjl.2014.05.040; Ring SC, 2018, J DAIRY SCI, V101, P6190, DOI 10.3168/jds.2018-14481; Ruiz-Saenz J., 2010, REV COLOMB CIENC PEC, V23, P29; Santman-Berends I.M.G., 2017, PREV VET MED, V150, P168; Saurabh Majumder, 2015, International Journal of Current Microbiology and Applied Sciences, V4, P844; Segura-Correa JC, 2016, OPEN VET J, V6, P143, DOI 10.4314/ovj.v6i2.12; Segura-Correa JC, 2010, TROP ANIM HEALTH PRO, V42, P233, DOI 10.1007/s11250-009-9411-y; Serem E., 2020, PREV VET MED, V175; Sibhat B, 2018, PREV VET MED, V150, P126, DOI 10.1016/j.prevetmed.2017.12.019</t>
  </si>
  <si>
    <t>GUJARAT</t>
  </si>
  <si>
    <t>STAR, GULSHAN PARK, NH-8A, CHANDRAPUR RD, WANKANER, GUJARAT, 363 621, INDIA</t>
  </si>
  <si>
    <t>0972-8988</t>
  </si>
  <si>
    <t>2231-0916</t>
  </si>
  <si>
    <t>VET WORLD</t>
  </si>
  <si>
    <t>Vet. World</t>
  </si>
  <si>
    <t>10.14202/vetworld.2022.1550-1556</t>
  </si>
  <si>
    <t>Agriculture, Dairy &amp; Animal Science; Veterinary Sciences</t>
  </si>
  <si>
    <t>Agriculture; Veterinary Sciences</t>
  </si>
  <si>
    <t>2O7NA</t>
  </si>
  <si>
    <t>WOS:000819240100001</t>
  </si>
  <si>
    <t>Carvajal-Cogollo, JE; Quiroga-Huertas, KA; Munoz-Castro, JA; Hernandez-Avendano, P; Gonzalez-Suran, GA; Meza-Joya, FL</t>
  </si>
  <si>
    <t>Carvajal-cogollo, Juan E.; Quiroga-huertas, Karol A.; Munoz-castro, Johana A.; Hernandez-Avendano, Paola; Gonzalez-Suran, Gustavo A.; Meza-Joya, Fabio Leonardo</t>
  </si>
  <si>
    <t>Rediscovery and phylogenetic position of the glassfrog ?Centrolene? acanthidiocephalum (Ruiz-Carranza and Lynch, 1989) (Anura: Centrolenidae) with the description of its advertisement call and comments on clutches and tadpoles</t>
  </si>
  <si>
    <t>advertisement call; rare and endemic species; molecular phylogeny; rediscovery; Santander giant glass frog</t>
  </si>
  <si>
    <t>MITOCHONDRIAL; EVOLUTION; AMPHIBIA; SERRANIA; TREE</t>
  </si>
  <si>
    <t>The lack of basic natural history and distributional data represents a challenge for the conservation of rare and endemic amphibian species. This is the case of Centrolene acanthidiocephalum, a poorly known glassfrog endemic to the Cordillera Oriental of the Colombian Andes. This species was formally described in the late 1980s and no records have been reported over the last quarter century. Therefore, little is known about its distributional boundaries, morphological variation, natural history, and evolutionary relationships. Here we report the finding of a population of Centrolene acanthidiocephalum from a locality around its historical range and provide additional information on its geographic distribution, clutch size, and adult morphology. We also present for the first time data on tadpole morphology, as well as a description of its advertisement call and a phylogenetic tree based on mitochondrial genetic data corroborating its generic position within Centrolene.</t>
  </si>
  <si>
    <t>[Carvajal-cogollo, Juan E.; Quiroga-huertas, Karol A.; Munoz-castro, Johana A.; Hernandez-Avendano, Paola] Univ Pedag &amp; Tecnol Colombia, Museo Hist Nat Luis Gonzalo Andrade, Grp Invest Biodivers &amp; Conservac, Tunja, Boyaca, Colombia; [Gonzalez-Suran, Gustavo A.] Wildlife Conservat Soc Colombia, Bogota, Colombia; [Meza-Joya, Fabio Leonardo] Univ Ind St ander, Escuela Biol, Grp Invest en Biotecnol Ind Biol Mol y, Piedecuesta, Santander, Colombia; [Meza-Joya, Fabio Leonardo] Massey Univ, Sch Nat Sci, Wildlife &amp; Ecol, Palmerston North, New Zealand</t>
  </si>
  <si>
    <t>Universidad Pedagogica y Tecnologica de Colombia (UPTC); Massey University</t>
  </si>
  <si>
    <t>Carvajal-Cogollo, JE (corresponding author), Univ Pedag &amp; Tecnol Colombia, Museo Hist Nat Luis Gonzalo Andrade, Grp Invest Biodivers &amp; Conservac, Tunja, Boyaca, Colombia.</t>
  </si>
  <si>
    <t>juancarvajalc@gmail.com; karol.quirogah@gmail.com; johana.a.munoz@gmail.com; paoheraven@gmail.com; gustavo.gonzalezdu@gmail.com; f.l.mezajoya@massey.ac.nz</t>
  </si>
  <si>
    <t>Wildlife Conservation Society Colombia</t>
  </si>
  <si>
    <t>Wildlife Conservation Society Colombia financed fieldwork through the project Strategy for the Conservation of Amphibians in Colombia. We thank the Guanenta Alto Rio Fonce Flora and Fauna Sanctuary and its director Fabio Munoz and assistants Cristian Palacios and Eliecer Camargo, who were decisive in accessing and collecting samples in the study area. We also thank Mauricio Rivera, Sandra Galeano, and Carolina Gomez for access to the biological material deposited in the amphibian collections of Instituto de Ciencias Naturales de la Universidad Nacional de Colombia and Instituto Alexander von Humboldt.</t>
  </si>
  <si>
    <t>Rios-Soto JA, 2017, S AM J HERPETOL, V12, P117, DOI 10.2994/SAJH-D-16-00022.1; Altig R, 1999, TADPOLES, P24; Bernal MH, 2008, ZOOTAXA, P1, DOI 10.11646/zootaxa.1826.1.1; Bioacoustics Research Program, 2011, RAV PRO INT SOUND AN; Cardozo-Urdaneta A., 2012, M FUND SALLE CIENCIA, V70, P173; Castroviejo-Fisher S, 2014, J BIOGEOGR, V41, P66, DOI 10.1111/jbi.12208; Cisneros-Heredia DF, 2007, ZOOTAXA, P3; COCROFT RB, 1995, ANIM BEHAV, V49, P283, DOI 10.1006/anbe.1995.0043; Darst CR, 2004, MOL PHYLOGENET EVOL, V31, P462, DOI 10.1016/j.ympev.2003.09.003; Diaz-Gutierrez N, 2013, ZOOTAXA, V3686, P289; Hoang DT, 2018, MOL BIOL EVOL, V35, P518, DOI 10.1093/molbev/msx281; Sulbaran MDE, 2019, J EVOLUTION BIOL, V32, P163, DOI 10.1111/jeb.13406; Frost D. R, 2022, AMPHIBIAN SPECIES WO; GONZALEZ-ACOSTA C. R. I. S. T. I. A. N., 2022, Herpetological Bulletin, P38, DOI 10.33256/hb159.3840; Gosner K. L., 1960, Herpetologica, V16, P183; Grant T, 1998, J HERPETOL, V32, P452, DOI 10.2307/1565465; Guayasamin JM, 2008, MOL PHYLOGENET EVOL, V48, P574, DOI 10.1016/j.ympev.2008.04.012; Guayasamin JM, 2020, DIVERSITY-BASEL, V12, DOI 10.3390/d12060222; Guayasamin JM, 2009, ZOOTAXA, P1; Guisan A, 2006, CONSERV BIOL, V20, P501, DOI 10.1111/j.1523-1739.2006.00354.x; Hutter CR, 2013, ECOL LETT, V16, P1135, DOI 10.1111/ele.12148; IUCN, 2019, IUCN RED LIST THREAT, DOI [10.2305/IUCN.UK.2019-2.RLTS.T54900A49360219.en, DOI 10.2305/IUCN.UK.2019-2.RLTS.T54900A49360219.EN]; Jimenez de la Espada M, 1872, ANALES SOC ESPANOLA, V1, P84; Katoh K, 2013, MOL BIOL EVOL, V30, P772, DOI 10.1093/molbev/mst010; Kearse M, 2012, BIOINFORMATICS, V28, P1647, DOI 10.1093/bioinformatics/bts199; KOCHER TD, 1989, P NATL ACAD SCI USA, V86, P6196, DOI 10.1073/pnas.86.16.6196; Nguyen LT, 2015, MOL BIOL EVOL, V32, P268, DOI 10.1093/molbev/msu300; Lanfear R, 2017, MOL BIOL EVOL, V34, P772, DOI 10.1093/molbev/msw260; LAVILLA E O, 1986, Physis Seccion B las Aguas Continentales y sus Organismos, V44, P39; Meza-Joya FL, 2017, ZOOTAXA, V4294, P93, DOI 10.11646/zootaxa.4294.1.4; LYNCH JD, 1983, STUD NEOTROP FAUNA E, V18, P239, DOI 10.1080/01650528309360638; Maddison WP, 2005, MESQUITE MODULAR SYS; Malambo C, 2017, PHYLLOMEDUSA, V16, P97, DOI 10.11606/issn.2316-9079.v16i1p97-99; Meza-Joya FL, 2021, ZOOTAXA, V5068, P247, DOI 10.11646/zootaxa.5068.2.5; Palumbi S.R., 1991, SIMPLE FOOLS GUIDE P; Enciso-Calle MP, 2017, ZOOTAXA, V4344, P160, DOI 10.11646/zootaxa.4344.1.7; Rada Marco, 2007, Pap. Avulsos Zool., V47, P259; Ramos E, 2018, HERPETOL CONSERV BIO, V13, P58; Rios-Soto J.A., 2018, CATALOGO ANFIBIOS RE, V4, P24; Romero J., 1998, COMP SISTEMAS PRODUC; Ruiz-Carranza P.M., 1989, Trianea, P67; Ruiz-Carranza P.M., 1991, LOZANIA, V58, P26; Ruiz-Carranza P.M., 1991, LOZANIA, V57, P1; Ruiz-Carranza Pedro M., 1995, Lozania, V63, P1; SAVAGE JM, 1967, COPEIA, P604, DOI 10.2307/1442239; Twomey E, 2014, ZOOTAXA, V3851, P1, DOI 10.11646/zootaxa.3851.1.1; Kamino LHY, 2012, NAT CONSERVACAO, V10, P191, DOI 10.4322/natcon.2012.033</t>
  </si>
  <si>
    <t>APR 14</t>
  </si>
  <si>
    <t>10.11646/zootaxa.5264.3.3</t>
  </si>
  <si>
    <t>F4QI7</t>
  </si>
  <si>
    <t>WOS:000982205500003</t>
  </si>
  <si>
    <t>Bulla-Castaneda, DM; Buitrago, HAL; Lancheros-Buitrago, DJ; Diaz-Anaya, AM; Garcia-Corredor, DJ; Tobon-Torreglosa, JC; Ortega, DO; Pulido-Medellin, MO</t>
  </si>
  <si>
    <t>Maria Bulla-Castaneda, Diana; Lopez Buitrago, Henry Alexander; Johana Lancheros-Buitrago, Deist; Maria Diaz-Anaya, Adriana; Jose Garcia-Corredor, Diego; Cesar Tobon-Torreglosa, Julio; Ortiz Ortega, Diego; Orlando Pulido-Medellin, Martin</t>
  </si>
  <si>
    <t>Seroprevalence and risk factors associated with the presence of bovine leptospirosis in the municipality of Sotaquira, Colombia</t>
  </si>
  <si>
    <t>OPEN VETERINARY JOURNAL</t>
  </si>
  <si>
    <t>Cattle; Leptospira; Leptospirosis; Prevalence</t>
  </si>
  <si>
    <t>MICROSCOPIC AGGLUTINATION-TEST; DAIRY GOATS; ANTIBODIES</t>
  </si>
  <si>
    <t>Background: Bovine leptospirosis is a zoonotic, infectious, and cosmopolitan disease of worldwide distribution, caused by the spirochete Leptospira spp., which has been diagnosed in humans; domestic mammals, such as dogs, sheep, goats, swine, horses and cattle; and wild animals. It is considered a significant cause of economic losses in livestock because it causes infertility, abortion and reduced milk production.Aim: To establish the prevalence and the main risk factors associated with Leptospira spp. in cattle in the municipality of Sotaquira, Colombia.Methods: An observational, descriptive, cross-sectional study with simple random sampling was carried out. 1,000 cattle of Ayrshire, Holstein, Jersey, Normande, Zebu, and crossbreeds were sampled. Blood samples were taken by coccygeal venipuncture and processed by microscopic agglutination technique; animals were considered positive when titers were &gt;= 1:100. The data obtained were processed with the statistical program EpiInfo (R).Results: A general apparent prevalence (AP) of 16% (160/1,000) was established, where the crossbreeds (20.5% AP), the 2-4 years age group (17% AP), and the serovars Leptospira interrogans serogroup Pomona (5.1%) and L. interrogans serogroup Sjroe serovar Hardjo (3.4%) presented the highest seropositivity. The variables barnyard, artificial insemination, and use of certified semen were identified as protective factors against the disease, while diarrhea was considered a risk factor.Conclusion: The prevalence in this study is within the range of those reported at the national level; however, it is essential to establish plans to control and prevent the disease.</t>
  </si>
  <si>
    <t>[Maria Bulla-Castaneda, Diana; Lopez Buitrago, Henry Alexander; Johana Lancheros-Buitrago, Deist; Maria Diaz-Anaya, Adriana; Jose Garcia-Corredor, Diego; Orlando Pulido-Medellin, Martin] Univ Pedag &amp; Tecnol Colombia, Grp Invest Med Vet &amp; Zootecnia GIDIMEVETZ, Tunja, Colombia; [Cesar Tobon-Torreglosa, Julio] Empresa Colombiana Prod Vet VECOL, Bogota, Colombia; [Ortiz Ortega, Diego] Corp Colombian Invest Agr Agrosavia, Bogota, Colombia</t>
  </si>
  <si>
    <t>Pulido-Medellin, MO (corresponding author), Univ Pedag &amp; Tecnol Colombia, Grp Invest Med Vet &amp; Zootecnia GIDIMEVETZ, Tunja, Colombia.</t>
  </si>
  <si>
    <t>martin.pulido@uptc.edu.cn</t>
  </si>
  <si>
    <t>Alcaldia Municipal S., 2019, ALC MUN SOT BOYAC; Ali MRM, 2021, INT J BIOL MACROMOL, V168, P289, DOI 10.1016/j.ijbiomac.2020.12.062; Awosanya EJ, 2013, PAN AFR MED J, V16, DOI 10.11604/pamj.2013.16.144.3529; Benavides-Romo K.L.A., 2016, REVIP, V4, P27; Betancur Hurtado César, 2013, Rev. Med. Vet., P47; Carreño Luis A., 2017, Rev. salud pública, V19, P204, DOI 10.15446/rsap.v19n2.54235; Carvalho O. S., 2015, African Journal of Microbiology Research, V9, P598; DANE, 2020, CUENT NAC AN; Ellis WA, 2015, CURR TOP MICROBIOL, V387, P99, DOI 10.1007/978-3-662-45059-8_6; Favero JF, 2017, MICROB PATHOGENESIS, V107, P149, DOI 10.1016/j.micpath.2017.03.032; FEDEGAN, 2018, GAN COL HOJ RUT 2018; de Oliveira PRF, 2018, BRAZ J MICROBIOL, V49, P795, DOI 10.1016/j.bjm.2018.02.007; Garcia Alejandra Arias, 2022, Acta Scientiarum Animal Sciences, V44, pe54875, DOI 10.4025/actascianimsci.v44i1.54875; Givens MD, 2018, ANIMAL, V12, pS165, DOI [10.1017/S1751731118000708, 10.1017/s1751731118000708]; Gomez Reynoso M., 2005, THESIS U NACL AUTONO; Grippi F, 2020, J VET RES, V64, P73, DOI 10.2478/jvetres-2020-0021; Higino SSS, 2013, PREV VET MED, V109, P158, DOI 10.1016/j.prevetmed.2012.09.005; Khalili Mohammad, 2014, Asian Pacific Journal of Tropical Biomedicine, V4, P354, DOI 10.12980/APJTB.4.2014C1206; Levett PN, 2015, CURR TOP MICROBIOL, V387, P11, DOI 10.1007/978-3-662-45059-8_2; Llanco A Luis, 2017, Rev. investig. vet. Perú, V28, P696, DOI [10.15381/rivep.v28.i3.13287, 10.15381/rivep.v28i3.13287]; Loureiro AP, 2017, ANIM REPROD SCI, V178, P54, DOI 10.1016/j.anireprosci.2017.01.008; Loureiro AP, 2020, THERIOGENOLOGY, V141, P41, DOI 10.1016/j.theriogenology.2019.09.011; Alvarez MAL, 2018, REV INVESTIG VET PER, V29, P611, DOI 10.15381/rivep.v29i2.14525; Marianelli C, 2007, VET REC, V161, P310, DOI 10.1136/vr.161.9.310; Martins G, 2017, RES VET SCI, V112, P156, DOI 10.1016/j.rvsc.2017.03.021; Martins G, 2012, TROP ANIM HEALTH PRO, V44, P377, DOI 10.1007/s11250-011-9918-x; Menezes A.T., 2006, REV CIENTIF ELETRON, V3, P1; Moreno Figueredo Giovanni, 2017, Rev. investig. vet. Perú, V28, P1002, DOI 10.15381/rivep.v28i4.12850; Motta Giraldo Javier Leonardo, 2014, Rev Salud Anim., V36, P80; Mughini-Gras L, 2014, EPIDEMIOL INFECT, V142, P1172, DOI 10.1017/S0950268813001817; Mullan S, 2016, J CLIN DIAGN RES, V10, pDC8, DOI 10.7860/JCDR/2016/22462.9010; Newcomer BW, 2016, VET CLIN N AM-FOOD A, V32, P425, DOI 10.1016/j.cvfa.2016.01.011; OIE. World organisation for animal health (OIE), 2021, TERRESTRIAL ANIMAL H, P1; Olmo L, 2019, PLOS ONE, V14, DOI 10.1371/journal.pone.0220335; Ospina-Pinto M.C., 2015, REV CUBANA MED TROP, V67; Peek S., 2018, Rebhun's diseases of dairy cattle; Ruano MP, 2020, COMP IMMUNOL MICROB, V72, DOI 10.1016/j.cimid.2020.101527; Pinto PD, 2016, TROP ANIM HEALTH PRO, V48, P239, DOI 10.1007/s11250-015-0954-9; Pulido-Medellin M., 2017, Veterinaria y Zootecnia, V11, P55; Rebhum W., 1999, ENFERMEDADES GANADO, V1st; Szwako A, 2015, Compend. cienc. vet, V5, P26, DOI 10.18004/compend.cienc.vet.2015.05.01.26-30; Torres-Castro Marco, 2018, Salud(i)Ciencia, V22, P778; Vincent AT, 2019, PLOS NEGLECT TROP D, V13, DOI 10.1371/journal.pntd.0007270; Washburn KE, 2020, ANIMAL AGRICULTURE: SUSTAINABILITY, CHALLENGES AND INNOVATIONS, P493, DOI 10.1016/B978-0-12-817052-6.00028-8</t>
  </si>
  <si>
    <t>UNIV TRIPOLI, FAC VET MED</t>
  </si>
  <si>
    <t>TRIPOLI</t>
  </si>
  <si>
    <t>UNIV TRIPOLI, FAC VET MED, TRIPOLI, 00000, LIBYA</t>
  </si>
  <si>
    <t>2226-4485</t>
  </si>
  <si>
    <t>2218-6050</t>
  </si>
  <si>
    <t>OPEN VET J</t>
  </si>
  <si>
    <t>Open Vet. J.</t>
  </si>
  <si>
    <t>10.5455/OVJ.2022.v12.i5.11</t>
  </si>
  <si>
    <t>5K2DU</t>
  </si>
  <si>
    <t>WOS:000869542400002</t>
  </si>
  <si>
    <t>Navarro-Roldan, CP; Mateus-Gomez, S; Ruge, CB; Velez, G</t>
  </si>
  <si>
    <t>Navarro-Roldan, Claudia P.; Mateus-Gomez, Sandra; Ruge, Catalina Botero; Velez, Gabriel</t>
  </si>
  <si>
    <t>Validity and reliability of Spanish ver- sion of the EQ-i: YV[S] in Colombian children and youth</t>
  </si>
  <si>
    <t>INTERNATIONAL JOURNAL OF PSYCHOLOGICAL RESEARCH</t>
  </si>
  <si>
    <t>Emotional Development; Intelligence Test; Psychometrics; Assessment Methods; Childhood; Adolescence</t>
  </si>
  <si>
    <t>TRAIT EMOTIONAL INTELLIGENCE; QUOTIENT INVENTORY; PSYCHOMETRIC PROPERTIES; SOCIAL INTELLIGENCE; VERSION-SHORT; SHORT-FORM; ADOLESCENCE; CHILDHOOD; PERFORMANCE; MODEL</t>
  </si>
  <si>
    <t>Introduction. Validity and reliability evaluations of the Emotional Quotient Inventory: Youth Version (EQ-i: YV[S]) with children and adolescents from different countries have shown variations in the structural model proposed by Bar-On. Objective. To examine the psychometric properties of EQ-i: YV[S] with a Colombian' sample. Method. We randomly selected a sample of 1355 children and adolescents between 8 and 14 years old (Mage = 10.80; SD = 1.41). We conducted exploratory (n1 = 416) and confirmatory (n2 = 939) factor analyses (EFA, CFA), reliability, internal consistency, and predictive validity. Results. The EFA explained 27.6% of the variance. The AFC indicated a multidimensional structure with four factors and 21 items obtained the best fit (chi 2 = 334.358; df = 183; RMSEA=0.030; CFI=.951; TLI=944; NFI=.899) with acceptable internal consistency (omega = .57,.75). EQ-i: YV[S] factors explain 18.5% of the observed variance in problem-centered coping scores. Conclusions. The psychometric fit of the inventory supports evidence of its usefulness for screening processes in clinical or educational assessment.</t>
  </si>
  <si>
    <t>[Navarro-Roldan, Claudia P.] Univ Pedag &amp; Tecnol Colombia, Psychol program, Tunja, Colombia; [Mateus-Gomez, Sandra] Fdn Mot Inteligencia Colect, Mental Hlth Branch, Tunja, Colombia; [Ruge, Catalina Botero] Fdn Santa Fe Bogota, Dept Epidemiol &amp; Publ Hlth, Bogota, Colombia; [Velez, Gabriel] Marquette Univ, Coll Educ, Dept Educ Policy &amp; Leadership EDPL, Milwaukee, WI USA</t>
  </si>
  <si>
    <t>Universidad Pedagogica y Tecnologica de Colombia (UPTC); Marquette University</t>
  </si>
  <si>
    <t>Navarro-Roldan, CP (corresponding author), Univ Pedag &amp; Tecnol Colombia, Psychol program, Tunja, Colombia.</t>
  </si>
  <si>
    <t>claudia.navarro@uptc.edu.co</t>
  </si>
  <si>
    <t>Ackley D., 2016, CONSULTING PSYCHOL J, V68, P269, DOI [10.1037/cpb0000070, DOI 10.1037/CPB0000070]; Asparouhov T, 2009, STRUCT EQU MODELING, V16, P397, DOI 10.1080/10705510903008204; Bar-On R., 2000, BARON EMOTIONAL QUOT; Bar-On R., 1997, BAR ON EMOTIONAL QUO; Bar-On R, 2006, PSICOTHEMA, V18, P13; Bozdogan H, 2000, J MATH PSYCHOL, V44, P62, DOI 10.1006/jmps.1999.1277; Brackett MA, 2011, SOC PERSONAL PSYCHOL, V5, P88, DOI 10.1111/j.1751-9004.2010.00334.x; Buitrago Bonilla Rafael Enrique, 2019, Prax. Saber, V10, P45, DOI 10.19053/22160159.v10.n25.2019.10002; Davis SK, 2018, J PERS ASSESS, V100, P197, DOI 10.1080/00223891.2017.1280502; Davis SK, 2016, FRONT PSYCHOL, V7, DOI 10.3389/fpsyg.2016.01316; Davis SK, 2012, J ADOLESCENCE, V35, P1369, DOI 10.1016/j.adolescence.2012.05.007; El Hassan K, 2005, INT J TEST, V5, P301, DOI 10.1207/s15327574ijt0503_7; Esnaola I, 2018, J PSYCHOEDUC ASSESS, V36, P576, DOI 10.1177/0734282916689439; Esnaola I, 2018, ESTUD PSICOL-MADRID, V39, P127, DOI 10.1080/02109395.2017.1407905; Esnaola I, 2016, SPAN J PSYCHOL, V19, DOI 10.1017/sjp.2016.12; Evans GW, 2013, CHILD DEV PERSPECT, V7, P43, DOI 10.1111/cdep.12013; Ferrandiz C, 2012, REV PSICODIDACT, V17, P309, DOI 10.1387/RevPsicodidact.2814; Fidell LS., 2013, USING MULTIVARIATE S; Fiori M, 2018, SPRINGER SER HUM EXC, P23, DOI 10.1007/978-3-319-90633-1_2; Gignac GE, 2009, SPRINGER SER HUM EXC, P9, DOI 10.1007/978-0-387-88370-0_2; Gilar-Corbi R, 2021, INT J ENV RES PUB HE, V18, DOI 10.3390/ijerph18041643; Goldenberg I, 2006, J PERS ASSESS, V86, P33, DOI 10.1207/s15327752jpa8601_05; Herrera L, 2017, UNIV PSYCHOL, V16, DOI [10.11144/javeriana.upsy16-3.eips, 10.11144/Javeriana.upsy16-3.eips]; Keefer KV, 2018, SPRINGER SER HUM EXC, P1, DOI 10.1007/978-3-319-90633-1_1; Keefer KV, 2013, PSYCHOL ASSESSMENT, V25, P1255, DOI 10.1037/a0033903; Kun B, 2012, PSYCHOL ASSESSMENT, V24, P518, DOI 10.1037/a0026013; Lozano L. M., 2008, METHODOLOGY-EUR, V4, P73, DOI [DOI 10.1027/1614-2241.4.2.73, 10.1027/1614-2241.4.2.73]; MacCann C, 2020, PSYCHOL BULL, V146, P150, DOI 10.1037/bul0000219; Morales-Rodriguez FM, 2012, AN PSICOL-SPAIN, V28, P475, DOI 10.6018/analesps.28.2.136221; Marsh HW, 2004, STRUCT EQU MODELING, V11, P320, DOI 10.1207/s15328007sem1103_2; Martins A, 2010, PERS INDIV DIFFER, V49, P554, DOI 10.1016/j.paid.2010.05.029; Mayer J., 2002, MAYER SALOVEY CARUSO; Mayer JD, 2016, EMOT REV, V8, P290, DOI 10.1177/1754073916639667; McDonald R., 1999, TEST THEORY UNIFIED; Merino C., 2014, REV PERUANA PSICOLOG, V3, P141, DOI [10.13140/2.1.2293.7284, DOI 10.13140/2.1.2293.7284]; Mueller, 2018, REVIEWERS GUIDE QUAN, P98, DOI [10.4324/9781315755649-8, DOI 10.4324/9781315755649-8, DOI 10.4324/9781315755649]; Parker JDA, 2011, PSYCHOL ASSESSMENT, V23, P762, DOI 10.1037/a0023289; Petrides KV, 2016, EMOT REV, V8, P335, DOI 10.1177/1754073916650493; Petrides KV, 2010, IND ORGAN PSYCHOL-US, V3, P136, DOI 10.1111/j.1754-9434.2010.01213.x; Petrides KV, 2009, SPRINGER SER HUM EXC, P85, DOI 10.1007/978-0-387-88370-0_5; Petrides KV, 2001, EUR J PERSONALITY, V15, P425, DOI 10.1002/per.416; Puma M. J., 2009, WHAT DATA ARE MISSIN; Resurreccion DM, 2014, J ADOLESCENCE, V37, P461, DOI 10.1016/j.adolescence.2014.03.012; Roberts RD, 2010, SOC PERSONAL PSYCHOL, V4, P821, DOI 10.1111/j.1751-9004.2010.00277.x; Ruvalcaba N., 2014, LABORATORIO EVALUACI, V14, P1, DOI [10.35670/1667-4545.v14.n1.8409, DOI 10.35670/1667-4545.V14.N1.8409]; Said T. B. T. A., 2013, INT J LEARNING MANAG, V1, P13, DOI [10.12785/ijlms/010202, DOI 10.12785/IJLMS/010202]; Sanchez-Alvarez N, 2020, FRONT PSYCHOL, V11, DOI 10.3389/fpsyg.2020.01517; Sanchez-Alvarez N, 2016, J POSIT PSYCHOL, V11, P276, DOI 10.1080/17439760.2015.1058968; Siegling AB, 2015, MEASURES OF PERSONALITY AND SOCIAL PSYCHOLOGICAL CONSTRUCTS, P381, DOI 10.1016/B978-0-12-386915-9.00014-0; Smith GT, 2000, PSYCHOL ASSESSMENT, V12, P102, DOI 10.1037/1040-3590.12.1.102; Stanimirovic R, 2012, PSYCHOL SPORT EXERC, V13, P44, DOI 10.1016/j.psychsport.2011.07.009; Stough C, 2009, SPRINGER SER HUM EXC, P1, DOI 10.1007/978-0-387-88370-0; Trizano-Hermosilla I, 2016, FRONT PSYCHOL, V7, DOI 10.3389/fpsyg.2016.00769; Ugarriza N., 2005, PERSONA, V0, P11, DOI [10.26439/persona2005.n008.893, DOI 10.26439/PERSONA2005.N008.893]; Vaske JJ, 2017, LEISURE SCI, V39, P163, DOI 10.1080/01490400.2016.1127189</t>
  </si>
  <si>
    <t>UNIV SAN BUENAVENTURA, MEDELLIN</t>
  </si>
  <si>
    <t>DEPT FORMACION HUMANA &amp; BIOETICA, SAN BENITO CENTRO, CARRERA 56C NO 51-90, MEDELLIN, 00000, COLOMBIA</t>
  </si>
  <si>
    <t>2011-7922</t>
  </si>
  <si>
    <t>2011-2084</t>
  </si>
  <si>
    <t>INT J PSYCHOL RES</t>
  </si>
  <si>
    <t>Int. J. Psychol. Res.</t>
  </si>
  <si>
    <t>10.21500/20112084.5677</t>
  </si>
  <si>
    <t>F8DC2</t>
  </si>
  <si>
    <t>WOS:000984588100004</t>
  </si>
  <si>
    <t>Vega-Useche, L; Vega-Useche, C</t>
  </si>
  <si>
    <t>Vega-Useche, Leonel; Vega-Useche, Camilo</t>
  </si>
  <si>
    <t>How long should the pre-surgical fasting time be in patients with enteral tube nutrition</t>
  </si>
  <si>
    <t>INTERNATIONAL JOURNAL OF SURGERY OPEN</t>
  </si>
  <si>
    <t>Fasting; Enteral feeding; Enteral nutrition</t>
  </si>
  <si>
    <t>[Vega-Useche, Leonel] Fdn Univ Sanitas, Dept Anesthesiol &amp; Perioperat Med, Bogota, Colombia; [Vega-Useche, Leonel] Grp Invest ACEMED UPTC, Tunja, Colombia; [Vega-Useche, Camilo] Univ Pedagog &amp; Tecnol Colombia, Tunja, Colombia</t>
  </si>
  <si>
    <t>Vega-Useche, L (corresponding author), Fdn Univ Sanitas, Dept Anesthesiol &amp; Perioperat Med, Bogota, Colombia.</t>
  </si>
  <si>
    <t>ls.vegaus@unisanitas.edu.co; acamilovega@gmail.com</t>
  </si>
  <si>
    <t>Vega, Leonel/0000-0002-2170-239X</t>
  </si>
  <si>
    <t>2405-8572</t>
  </si>
  <si>
    <t>INT J SURG OPEN</t>
  </si>
  <si>
    <t>Int. J. Surg. Open</t>
  </si>
  <si>
    <t>10.1016/j.ijso.2022.100477</t>
  </si>
  <si>
    <t>Orthopedics</t>
  </si>
  <si>
    <t>3I6RV</t>
  </si>
  <si>
    <t>WOS:000832842200002</t>
  </si>
  <si>
    <t>Valladares-Garrido, MJ; Serrano, FT; Guarnizo-Llacsahuanga, J; Rivera-Pinto, AX; Valladares-Garrido, D; Mejia, CR</t>
  </si>
  <si>
    <t>Valladares-Garrido, Mario J.; Serrano, Felipe T.; Guarnizo-Llacsahuanga, Jose; Rivera-Pinto, Alix Ximena; Valladares-Garrido, Danai; Mejia, Christian R.</t>
  </si>
  <si>
    <t>Factors associated with basic scientific-academic capacity in medical students from Latin America</t>
  </si>
  <si>
    <t>IATREIA</t>
  </si>
  <si>
    <t>Education; Latin America; Research; Societies; Scientific; Students; Medical</t>
  </si>
  <si>
    <t>ATTITUDES</t>
  </si>
  <si>
    <t>Introduction: There is limited evidence regarding student training on scientific and academic skills that are essential for medical training. Objective: To identify the factors associated to basic scientific-academic capacity in medical students from 11 countries in Latin America. Methods: Cross-sectional study of secondary data analysis, through a self-administered questionnaire in medical students from 11 Latin Ameri-can countries. The dependent variable was the presence of basic capacity, defined as the self-report of training and use of at least 1 of 3 databases (PubMed, SCOPUS, UpToDate), training in bibliographic search and critical reading, academic use of at least 1 of 3 information technologies (laptop, smartphone, tablet) and consulting scientific journals. Prevalence ratios (PR) were estimated using Multilevel mixed Effects Generalized Linear Models (MEGLM). A nested model was performed to evaluate the inclusion of co -variables in the parsimony model using LRTest. Results: Of 11.587 students, only 1.4% had basic scientific-academic capa-city. The factors associated in a positive way were being from private uni-versities (PR: 4.85, p &lt; 0.001), affiliation to a student scientific society (PR: 3.20, p &lt; 0.001), research groups (PR: 2.97, p &lt; 0.001) and more than one extracurricular group (PR: 4.29, p = 0.012). The factors associated negatively were being from Bolivia (PR:0.05, p = 0.005), Argentina (PR: 0.06, p = 0.011) and Peru (PR: 0.14, p &lt; 0.001). Conclusion: There is inadequate training in basic scientific-academic skills in medical students. Proceeding from a private university and affiliation to scientific societies or related groups increases the prevalence of acquiring such abilities.</t>
  </si>
  <si>
    <t>[Valladares-Garrido, Mario J.] Univ Norbert Wiener, Ctr Sudamer Educ &amp; Invest Salud Publ, Lima, Peru; [Valladares-Garrido, Mario J.] Hosp Reg Lambayeque, Oficina Epidemiol, Chiclayo, Peru; [Serrano, Felipe T.; Rivera-Pinto, Alix Ximena] Univ Pedag &amp; Tecnol Colombia UPTC, Grp Invest ACEMED UPTC, Tunja, Colombia; [Guarnizo-Llacsahuanga, Jose] Soc Cient Estudiantes Med Univ Cesar Vallejo, Piura SOCIEM UCV PIURA, Piura, Peru; [Valladares-Garrido, Danai] Univ Nacl Piura, Piura, Peru; [Mejia, Christian R.] Univ Continental, Lima, Peru</t>
  </si>
  <si>
    <t>Universidad Norbert Wiener; Universidad Pedagogica y Tecnologica de Colombia (UPTC); Universidad Nacional de Piura; Universidad Continental</t>
  </si>
  <si>
    <t>Serrano, FT (corresponding author), Univ Pedag &amp; Tecnol Colombia UPTC, Grp Invest ACEMED UPTC, Tunja, Colombia.</t>
  </si>
  <si>
    <t>orconie1@hotmail.com</t>
  </si>
  <si>
    <t>Torres, Felipe Serrano/E-7396-2019</t>
  </si>
  <si>
    <t>Torres, Felipe Serrano/0000-0003-3224-3448</t>
  </si>
  <si>
    <t>[Anonymous], 2021, SCIMAGO J COUNTRY RA; Cabrera-Enriquez JA, 2013, REV PANAM SALUD PUBL, V33, P166; Carrillo-Larco Rodrigo M, 2013, Rev Med Hered, V24, P17; Cursiefen C, 1998, MED EDUC, V32, P439, DOI 10.1046/j.1365-2923.1998.00255.x; Dadipoor Sakineh, 2019, Avicenna J Med, V9, P8, DOI 10.4103/ajm.AJM_121_18; Díaz Vélez Cristian, 2008, Acta méd. peruana, V25, P9; Frenk J, 2010, LANCET, V376, P1923, DOI 10.1016/S0140-6736(10)61854-5; Herrera Miranda Guillermo Luis, 2014, Rev Ciencias Médicas, V18, P639; Herrera YR, 2013, EDUMECENTRO, V4, P65; Huamani-Navarro Mauro, 2011, Educ. méd., V14, P235; Mayta-Tristán Percy, 2019, Rev. perú. med. exp. salud publica, V36, P106, DOI [10.17843/rpmesp.2019.361.4315, 10.17843/rpmesp.2019.361.4315.]; Mejia Christian R., 2022, Iatreia, V35, P21, DOI 10.17533/udea.iatreia.112; Mejía Christian R, 2015, Rev. perú. med. exp. salud publica, V32, P230; Molina-Ordóñez Janet, 2008, Rev. perú. med. exp. salud publica, V25, P325; Moya-Anegon FD, 2014, PRINCIPALES INDICADO; Nel D, 2014, SAMJ S AFR MED J, V104, P32, DOI [10.7196/samj.7058, 10.7196/SAMJ.7058]; Noorelahi MM, 2015, ADV MED EDUC PRACT, V6, P479, DOI 10.2147/AMEP.S83978; Pallamparthy Srivani, 2019, Perspect Clin Res, V10, P73, DOI 10.4103/picr.PICR_1_18; Rios-Gonzalez CM, 2017, ED MED, V18, P78, DOI [10.1016/j.edumed.2016.07.009, DOI 10.1016/J.EDUMED.2016.07.009]; Sanchez-Duque JA, 2018, ED MED, V19, P258, DOI [10.1016/j.edumed.2017, DOI 10.1016/J.EDUMED.2017]; Sánchez-Duque Jorge A., 2017, Investigación educ. médica, V6, P104, DOI 10.1016/j.riem.2016.07.003; Silva S, 2013, ARCH MED, V9, P1, DOI 10.3823/1200; Solomon SS, 2003, J INVEST MED, V51, P149, DOI 10.1136/jim-51-03-17; Taype-Rondan A, 2013, CIMEL, V18, P23; Taype-Rondán Álvaro, 2011, Rev. perú. med. exp. salud publica, V28, P691, DOI 10.1590/s1726-46342011000400022; Toro-Huamanchumo Carlos J., 2015, FEM (Ed. impresa), V18, P371; Toro-Huamanchumo Carlos J., 2015, FEM (Ed. impresa), V18, P293; Unnikrishnan B, 2014, J CLIN DIAGN RES, V8, pXC1, DOI 10.7860/JCDR/2014/10223.5291; World Federation for Medical Education, 2020, BAS MED ED WFME GLOB</t>
  </si>
  <si>
    <t>UNIV ANTIOQUIA, FAC MED</t>
  </si>
  <si>
    <t>CRA 51 D N 62-69, MEDELLIN, 00000, COLOMBIA</t>
  </si>
  <si>
    <t>0121-0793</t>
  </si>
  <si>
    <t>2011-7965</t>
  </si>
  <si>
    <t>Iatreia</t>
  </si>
  <si>
    <t>10.17533/udea.iatreia.194</t>
  </si>
  <si>
    <t>D9UL2</t>
  </si>
  <si>
    <t>WOS:000972106900009</t>
  </si>
  <si>
    <t>Pinzon, CRC</t>
  </si>
  <si>
    <t>Pinzon, Cesar Ramiro Chaparro</t>
  </si>
  <si>
    <t>Determiners Factors for the Online Shopping Intention for Boyacense Consumers</t>
  </si>
  <si>
    <t>REVISTA UNIVERSIDAD EMPRESA</t>
  </si>
  <si>
    <t>IT management; consumer research; consumer marketing</t>
  </si>
  <si>
    <t>UNIFIED THEORY; INFORMATION-TECHNOLOGY; MOBILE BANKING; ACCEPTANCE; ADOPTION</t>
  </si>
  <si>
    <t>Online shopping has been consolidated as a predominant business model. Online shoppers worldwide have in-creased: in 2017, 1270 million people; in 2018, 1380 million people; and in 2019, 1480 million people. In Colombia, e-Commerce in 2020 increased by 31 % compared to 2019, and e-Commerce sales represent 1.8 % of GDP. The objective of this article is to identify the determiners factors for the intention of online purchases by consumers in Boyaca (Colombia), based on the model of the unified theory of acceptance and use of technology (UTAUT2). With an online questionnaire, data were collected from 171 people. The structural equation model (SEM) was used, and the PLS-SEM approach and its analysis produced findings that the variables habit (t = 7.292; p = 0), performance expectancy (t = 3.153; p = 0.002), hedonic motivation (t = 3.019; p = 0.003) and price value (t = 2.620; p = 0.009) are meaningful in people's intention to make purchases online. The variables facilitating conditions, effort expectancy and social influence are insignificant for such behavior.</t>
  </si>
  <si>
    <t>[Pinzon, Cesar Ramiro Chaparro] Univ Nacl Colombia, Adm, Bogota, Colombia; [Pinzon, Cesar Ramiro Chaparro] Univ Manizales, Mercadeo, Manizales, Colombia; [Pinzon, Cesar Ramiro Chaparro] Univ Pedagog &amp; Tecnol Colombia UPTC Sogamoso, Sogamoso, Colombia</t>
  </si>
  <si>
    <t>Universidad Nacional de Colombia; Universidad de Manizales</t>
  </si>
  <si>
    <t>Pinzon, CRC (corresponding author), Univ Nacl Colombia, Adm, Bogota, Colombia.;Pinzon, CRC (corresponding author), Univ Manizales, Mercadeo, Manizales, Colombia.;Pinzon, CRC (corresponding author), Univ Pedagog &amp; Tecnol Colombia UPTC Sogamoso, Sogamoso, Colombia.</t>
  </si>
  <si>
    <t>cesarchaparropinzon@gmail.com</t>
  </si>
  <si>
    <t>Ain N, 2016, INFORM DEV, V32, P1306, DOI 10.1177/0266666915597546; Alalwan AA, 2017, INT J INFORM MANAGE, V37, P99, DOI 10.1016/j.ijinfomgt.2017.01.002; Alalwan AA, 2016, INFORM SYST MANAGE, V33, P154, DOI 10.1080/10580530.2016.1155950; Ali F, 2016, J HOSP LEIS SPORT TO, V18, P51, DOI 10.1016/j.jhlste.2016.03.002; An LP, 2016, AER ADV ENG RES, V24, P303; Baptista G, 2015, COMPUT HUM BEHAV, V50, P418, DOI 10.1016/j.chb.2015.04.024; Benitez J, 2020, INFORM MANAGE-AMSTER, V57, DOI 10.1016/j.im.2019.05.003; Dakduk S, 2020, HELIYON, V6, DOI 10.1016/j.heliyon.2020.e05451; DODDS WB, 1991, J MARKETING RES, V28, P307, DOI 10.2307/3172866; Escobar-Rodriguez T, 2013, J AIR TRANSP MANAG, V32, P58, DOI 10.1016/j.jairtraman.2013.06.018; Hair J, 2017, IND MANAGE DATA SYST, V117, P442, DOI 10.1108/IMDS-04-2016-0130; Hair JF, 2019, EUR BUS REV, V31, P2, DOI 10.1108/EBR-11-2018-0203; Imtiaz S., 2018, INT J INFORM COMMUNI, V3, P42; Jaller M, 2020, TRANSPORT RES D-TR E, V80, DOI 10.1016/j.trd.2020.102223; Khurana S., 2019, INT J INNOVATIVE TEC, V8, P752, DOI [10.35940/ijitee.I1122.0789S19, DOI 10.35940/IJITEE.I1122.0789S19]; Limayem M, 2007, MIS QUART, V31, P705, DOI 10.2307/25148817; Martínez Ávila Minerva, 2018, RIDE. Rev. Iberoam. Investig. Desarro. Educ, V8, P130, DOI 10.23913/ride.v8i16.336; Nawaz SamsudeenSabraz., 2020, J CRIT REV, V7, P1036, DOI DOI 10.31838/JCR.07.12.183; Oliveira T, 2016, COMPUT HUM BEHAV, V61, P404, DOI 10.1016/j.chb.2016.03.030; Ramirez Correa Elizabeth, 2021, Information Technology and Systems. ICITS 2021. Advances in Intelligent Systems and Computing (AISC 1330), P517, DOI 10.1007/978-3-030-68285-9_48; Ramirez-Correa P, 2019, J RETAIL CONSUM SERV, V50, P85, DOI 10.1016/j.jretconser.2019.04.018; Ryan C., 2020, TOURISM CRITIQUES PR, V1, P47; Song CH, 2020, INT J INFORM MANAGE, V51, DOI 10.1016/j.ijinfomgt.2019.11.003; Tamilmani K., 2017, DIGITAL NATIONS SMAR, P38, DOI [10.1007/978-3-319-68557-1_5, DOI 10.1007/978-3-319-68557-1]; Tamilmani K, 2021, INFORM SYST FRONT, V23, P987, DOI 10.1007/s10796-020-10007-6; United Nations Conference on Trade and Development (UNCTAD), 2020, UNCTAD B2C E COMM IN; Venkatesh V, 2003, MIS QUART, V27, P425, DOI 10.2307/30036540; Venkatesh V, 2016, J ASSOC INF SYST, V17, P328, DOI 10.17705/1jais.00428; Venkatesh V, 2012, MIS QUART, V36, P157; Zulfauzy A. I., 2018, INT J SCI RES, V7, P868, DOI [10.21275/ART201854, DOI 10.21275/ART201854]</t>
  </si>
  <si>
    <t>UNIV ROSARIO, EDITORIAL</t>
  </si>
  <si>
    <t>CARRETERA 7, N 13-41, OFICINA 501, BOGOTA, 00000, COLOMBIA</t>
  </si>
  <si>
    <t>0124-4639</t>
  </si>
  <si>
    <t>2145-4558</t>
  </si>
  <si>
    <t>REV UNIV EMPRES</t>
  </si>
  <si>
    <t>Rev. Univ. Empres.</t>
  </si>
  <si>
    <t>10.12804/revistas.urosario.edu.co/empresa/a.11934</t>
  </si>
  <si>
    <t>Business</t>
  </si>
  <si>
    <t>9V6SC</t>
  </si>
  <si>
    <t>WOS:000948519200001</t>
  </si>
  <si>
    <t>Palacino-Rodriguez, F; Lozano, MA; Altamiranda-Saavedra, M; Beltran, NJ; Penagos, AC; Hueso-Olaya, D; Morales, IT; Rios, KJ; Camacho-Contreras, P; Palacino-Penagos, DA; Penagos-Arevalo, A; Arbelaez-Cortes, E</t>
  </si>
  <si>
    <t>Palacino-Rodriguez, Fredy; Lozano, Maria Alejandra; Altamiranda-Saavedra, Mariano; Beltran, Nini Johana; Penagos, Andrea Carolina; Hueso-Olaya, Dayana; Morales, Irina Tatiana; Rios, Kelly Johana; Camacho-Contreras, Paola; Palacino-Penagos, Diego Andres; Penagos-Arevalo, Alexander; Arbelaez-Cortes, Enrique</t>
  </si>
  <si>
    <t>Knowledge on Colombian insects and arachnids: a bibliometric approach</t>
  </si>
  <si>
    <t>STUDIES ON NEOTROPICAL FAUNA AND ENVIRONMENT</t>
  </si>
  <si>
    <t>Biodiversity; Neotropics; Insecta; Arachnida</t>
  </si>
  <si>
    <t>2 DECADES; BIODIVERSITY; SPIDERS; CONSERVATION; SYSTEMATICS; ENTOMOLOGY; EVOLUTION; PROGRESS; TRENDS</t>
  </si>
  <si>
    <t>Despite Arthropoda being a major animal taxon, it is underrepresented in South American scientific publications. Here, we present the results of a bibliometric analysis of published studies on insects and arachnids in Colombia to understand the general patterns of knowledge of both taxa across this megadiverse country. We compiled 3119 studies on insects and 353 on arachnids published between 1918 and 2019 in more than 600 journals. Research on both insects and arachnids reflects the effort done by researchers working in Colombian institutions, but because publications are mainly domestic, their international impact is limited. The studies included 19 taxonomic orders of insects and 72 families of arachnids with a bias toward a few well-studied taxa like Diptera, Lepidoptera, Hymenoptera, Araneidae, and Salticidae, while the majority of taxa are understudied. The geographic coverage of the studies was broad and includes Colombia's 32 departments, but their distribution was heterogeneous being the Andean region the most studied, while the Caribbean and Orinoquia regions could be considered knowledge gaps. Considering our analysis, we give recommendations to expand and advance the knowledge of Colombian insects and arachnids, a major scientific enterprise in which collaboration among researchers from different institutions is needed.</t>
  </si>
  <si>
    <t>[Palacino-Rodriguez, Fredy; Penagos-Arevalo, Alexander] Univ El Bosque, Grp Invest Biol, Dept Biol, Bogota, Colombia; [Palacino-Rodriguez, Fredy; Lozano, Maria Alejandra; Beltran, Nini Johana; Penagos, Andrea Carolina; Hueso-Olaya, Dayana; Rios, Kelly Johana; Camacho-Contreras, Paola; Palacino-Penagos, Diego Andres] Ctr Invest Acarol, Grp Invest Odonatos &amp; Otros Artropodos Colombia, Bogota, Colombia; [Altamiranda-Saavedra, Mariano] Tecnol Antioquia, Fac Derecho &amp; Ciencias Forenses, Grp Invest Bioforense, Medellin, Colombia; [Morales, Irina Tatiana] Univ Pedag &amp; Tecnol Colombia, Grp Invest Bioforense, Fac Derecho &amp; Ciencias Forenses, Ave Cent Norte, Tunja, Colombia; [Arbelaez-Cortes, Enrique] Univ Ind Santander, Grp Estudios Biodiversidad, Escuela Biol, Bucaramanga, Colombia</t>
  </si>
  <si>
    <t>Universidad El Bosque; Universidad Pedagogica y Tecnologica de Colombia (UPTC); Universidad Industrial de Santander</t>
  </si>
  <si>
    <t>Palacino-Rodriguez, F (corresponding author), Univ El Bosque, Grp Invest Biol, Dept Biol, Bogota, Colombia.;Palacino-Rodriguez, F (corresponding author), Ctr Invest Acarol, Grp Invest Odonatos &amp; Otros Artropodos Colombia, Bogota, Colombia.</t>
  </si>
  <si>
    <t>odonata107@gmail.com</t>
  </si>
  <si>
    <t>PALACINO RODRIGUEZ, FREDY/0000-0002-3119-6945; MORALES, IRINA/0000-0003-2456-5674</t>
  </si>
  <si>
    <t>Adams JD, 1996, RAND J ECON, V27, P700, DOI 10.2307/2555878; Aldana-Dominguez J, 2017, TROP CONSERV SCI, V10, P1, DOI 10.1177/1940082917714229; Amat-Garcia G., 2007, LIBRO ROJO INVERTEBR; Arbelaez-Cortes E, 2017, SCIENTOMETRICS, V112, P1323, DOI 10.1007/s11192-017-2461-4; Arbelaez-Cortes E, 2013, BIODIVERS CONSERV, V22, P2875, DOI 10.1007/s10531-013-0560-y; ARBELÁEZ CORTÉS¹ ENRIQUE, 2013, Acta biol.Colomb., V18, P165; Aviles L, 2012, ADV STUD BEHAV, V44, P99, DOI 10.1016/B978-0-12-394288-3.00003-4; Barriga Javier C., 2013, Biota Colombiana, V14, P21; Bebber DP, 2014, NEW PHYTOL, V201, P700, DOI 10.1111/nph.12522; Bota-Sierra CA, 2016, ESTADO CONSERVACION, P67, DOI DOI 10.2305/IUCN.CH.2016.02.ES; Chouvenc Thomas, 2015, American Entomologist, V61, P252, DOI 10.1093/ae/tmv067; Core Team R., 2013, R LANG ENV STAT COMP; Eberhard WG, 2017, J ARACHNOL, V45, P177, DOI 10.1636/JoA-S-16-019.1; Eraso NR, 2013, J LAND USE SCI, V8, P154, DOI 10.1080/1747423X.2011.650228; Estela Felipe A., 2010, Boletin SAO, V20, P2; Gomez I, 1999, SCIENTOMETRICS, V46, P443, DOI 10.1007/BF02459603; Gutierrez-Chacon C, 2018, J ECON ENTOMOL, V111, P1526, DOI 10.1093/jee/toy133; Hamilton AJ, 2011, AM NAT, V177, P544, DOI 10.1086/659643; Hazzi NA, 2018, INVERTEBR SYST, V32, P111, DOI 10.1071/IS17022; Hazzi NA, 2013, ZOOTAXA, V3709, P243; Holdsworth DW, 2002, TRENDS BIOTECHNOL, V20, pS34, DOI 10.1016/S0167-7799(02)02004-8; Koskinen J, 2008, NORD J PSYCHIAT, V62, P136, DOI 10.1080/08039480801961667; Larsen BB, 2017, Q REV BIOL, V92, P229, DOI 10.1086/693564; Lei G, 2019, FORENSIC SCI INT, V295, P72, DOI 10.1016/j.forsciint.2018.12.002; Liu XJ, 2011, BIODIVERS CONSERV, V20, P807, DOI 10.1007/s10531-010-9981-z; Lorini ML, 2011, NAT CONSERVACAO, V9, P129, DOI 10.4322/natcon.2011.019; Mashimo Y, 2014, INSECT SYST EVOL, V45, P371, DOI 10.1163/1876312X-45012110; Metscher Brian D., 2009, BMC Physiology, V9, P11, DOI 10.1186/1472-6793-9-11; MICHÁN LAYLA, 2011, Acta biol.Colomb., V16, P33; Nicolson D, 2011, SPECIES 2000 ITIS CA; Ossa L. Paula A., 2012, Boletin Cientifico Museo de Historia Natural Universidad de Caldas, V16, P143; Palacino-Rodriguez F, 2016, ODONATOLOGICA, V45, P327, DOI 10.5281/zenodo.163455; Peck AL, 1965, ARISTOTLE HIST ANIMA; Peretto P.., 1998, 9807 CENTER DUK EC; Proctor HC, 2015, ECOLOGY AND GENERAL BIOLOGY, VOL I: THORP AND COVICH'S FRESHWATER INVERTEBRATES, 4TH EDITION, P599, DOI 10.1016/B978-0-12-385026-3.00025-5; Roskov Y., 2019, SPECIES 2000 ITIS CA; Rozo-Lopez P, 2015, BIODIVERS DATA J, V3, DOI 10.3897/BDJ.3.e4567; Sangster G, 2015, SYST BIOL, V64, P144, DOI 10.1093/sysbio/syu069; Schambach SJ, 2010, METHODS, V50, P2, DOI 10.1016/j.ymeth.2009.08.007; Serna F., 2019, HORMIGAS COLOMBIA, P1200; Seymore SB.., 2006, DOES MY WORK BECOME, V11; Sloane H., 1725, VOYAGE ISLANDS MADER, V2; Soacha K.., 2014, COLECCIONES BIOL EST; Stankus T.., 2017, SCI TECHNOLOGY LIB, V37, P1; Stankus Tony, 2018, Science &amp; Technology Libraries, V37, P86, DOI 10.1080/0194262X.2017.1389602; Stankus Tony, 2017, Science &amp; Technology Libraries, V36, P402, DOI 10.1080/0194262X.2017.1389330; Stevenson PR, 2010, TROP CONSERV SCI, V3, P45, DOI 10.1177/194008291000300105; Stork H., 2014, OPEN J ECOL, V4, P354, DOI DOI 10.4236/oje.2014.47033; Titley MA, 2017, PLOS ONE, V12, DOI 10.1371/journal.pone.0189577; Zenner de Polania I., 2017, Revista U.D.C.A. Actualidad &amp; Divulgacion Cientifica, V20, P163</t>
  </si>
  <si>
    <t>0165-0521</t>
  </si>
  <si>
    <t>1744-5140</t>
  </si>
  <si>
    <t>STUD NEOTROP FAUNA E</t>
  </si>
  <si>
    <t>Stud. Neotrop. Fauna Environ.</t>
  </si>
  <si>
    <t>2022 MAR 1</t>
  </si>
  <si>
    <t>10.1080/01650521.2022.2035119</t>
  </si>
  <si>
    <t>ZU1DD</t>
  </si>
  <si>
    <t>WOS:000769585000001</t>
  </si>
  <si>
    <t>Salomao, RP; Lopera-Toro, A; Pulido-Herrera, LA; Arias-Buritica, JA</t>
  </si>
  <si>
    <t>Salomao, Renato Portela; Lopera-Toro, Alejandro; Pulido-Herrera, Luz Astrid; Arias-Buritica, Jorge Armando</t>
  </si>
  <si>
    <t>Habitat type affects the diversity of dung beetle (Coleoptera: Scarabaeidae) assemblages in a neotropical mountainous region of Colombia</t>
  </si>
  <si>
    <t>Community structure; Neotropical highlands; Scarabaeinae; Tropical mountain</t>
  </si>
  <si>
    <t>ANTHROPOGENIC LAND-USE; COMMUNITY STRUCTURE; RAIN-FOREST; FRAGMENTATION; GRADIENT; DISTURBANCE; ABUNDANCE; PATTERNS; WINNERS; LOSERS</t>
  </si>
  <si>
    <t>Ecological communities of tropical regions respond to habitat configuration, being negatively affected by anthropogenic habitats. In the tropics, mountainous highland landscapes sustain ecological communities with contrasting responses to habitat transformation. This study assessed the effect of different habitats under different disturbance regimes on the dung beetle assemblage that inhabits a mountainous Andean landscape in Colombia. The habitat types surveyed were oak forest cores (low intervention), forest edges (medium intervention), and pastures (high intervention). A total of 3,810 dung beetles from ten species were collected. Dung beetle diversity was affected by habitat type, and forest cores and forest edges had higher diversity than pastures. Besides, each habitat type was characterized by a distinct dung beetle assemblage, with pastures showing the highest heterogeneity in the dung beetle assemblage. In conclusion, our study suggests that the dung beetles of a portion of Colombian Andean landscapes are sensitive to shifts of habitat quality. The higher dung beetle diversity in forested habitats indicates that pastures comprise limiting environments for their assemblages at this Andean region.</t>
  </si>
  <si>
    <t>[Salomao, Renato Portela] Inst Nacl de Pesquisas da Amazonia, Ave Andre Araujo 2936, BR-69060001 Manaus, AM, Brazil; [Salomao, Renato Portela] Univ Nacl Autonoma Mexico, Fac Estudios Super Iztacala, Ave Barrios 1, Tlalnepantla De Baz 54090, Mexico; [Lopera-Toro, Alejandro; Arias-Buritica, Jorge Armando] Univ Pedag &amp; Tecnol Colombia, Grp Invest Sistemat Biol, Ave Cent Norte 39-115, Tunja, Boyaca, Colombia; [Pulido-Herrera, Luz Astrid] CATIE, Tunja, Boyaca, Colombia</t>
  </si>
  <si>
    <t>Institute Nacional de Pesquisas da Amazonia; Universidad Nacional Autonoma de Mexico; Universidad Pedagogica y Tecnologica de Colombia (UPTC)</t>
  </si>
  <si>
    <t>Salomao, RP (corresponding author), Inst Nacl de Pesquisas da Amazonia, Ave Andre Araujo 2936, BR-69060001 Manaus, AM, Brazil.;Salomao, RP (corresponding author), Univ Nacl Autonoma Mexico, Fac Estudios Super Iztacala, Ave Barrios 1, Tlalnepantla De Baz 54090, Mexico.</t>
  </si>
  <si>
    <t>renatopsalomao3@hotmail.com</t>
  </si>
  <si>
    <t>Lopera Toro, Alejandro/0000-0001-5097-1655; Arias-Buritica, Jorge/0000-0002-9711-6055</t>
  </si>
  <si>
    <t>CAPES; DGAPA/UNAM</t>
  </si>
  <si>
    <t>CAPES(Coordenacao de Aperfeicoamento de Pessoal de Nivel Superior (CAPES)); DGAPA/UNAM(Universidad Nacional Autonoma de Mexico)</t>
  </si>
  <si>
    <t>We are grateful to the communities of the Penas Blancas Town, especially Rosa Bautista, Gabriel Robles, and their families. Thanks to Fernando Vaz-de-Mello, Francois Genier, Bruce Gill, and Joyce Cook for the corroboration of the determination and comments of the species. To Fredy Molano (Posthumous tribute) and Claudia Medina for their collaboration in the study's first phase. To Juana Andrade Lopez and Monica Ospina for their comments. We also thank the biologists Paola Delgado and Vladimir Paez for their valuable cooperation and support in the field phase. Renato Portela Salomao thanks CAPES and DGAPA/UNAM for his postdoctoral scholarships.</t>
  </si>
  <si>
    <t>Alvarado F, 2018, J APPL ECOL, V55, P185, DOI 10.1111/1365-2664.12957; Alvarado F, 2014, ORG DIVERS EVOL, V14, P105, DOI 10.1007/s13127-013-0148-0; Amat-Garcia German, 1997, Caldasia, V19, P191; Anderson MJ, 2006, BIOMETRICS, V62, P245, DOI 10.1111/j.1541-0420.2005.00440.x; Asner GP, 2014, BIOGEOSCIENCES, V11, P843, DOI 10.5194/bg-11-843-2014; Avella A., 2016, BIODIVERSIDAD 2016 E, P105; Barretto J, 2022, CURR ZOOL, V68, P635, DOI 10.1093/cz/zoab101; Barretto J, 2020, INT J TROP INSECT SC, V40, P385, DOI 10.1007/s42690-019-00089-4; Begon M, 2006, ECOLOGY INDIVIDUALS; Cardenas L., 2007, LIBRO ROJO PLANTAS C; Carvalho RL, 2022, J APPL ECOL, V59, P2642, DOI 10.1111/1365-2664.14270; Carvalho RL, 2020, ECOL INDIC, V108, DOI 10.1016/j.ecolind.2019.105764; Chao A., 2016, USERS GUIDE INEXT ON; Chao A, 2012, ECOLOGY, V93, P2533, DOI 10.1890/11-1952.1; Clarke K. R., 2006, PRIMER; CONNELL JH, 1978, SCIENCE, V199, P1302, DOI 10.1126/science.199.4335.1302; Cook J, 2002, COLEOPTS BULL, V56, P3, DOI 10.1649/0010-065X(2002)56[3:AROTNG]2.0.CO;2; Core Team R., 2013, R LANG ENV STAT COMP; Cultid-Medina C, 2015, J INSECT CONSERV, V19, P617, DOI 10.1007/s10841-015-9784-3; da Silva PG, 2015, PLOS ONE, V10, DOI 10.1371/journal.pone.0126112; da Silva PM, 2008, AGR ECOSYST ENVIRON, V124, P270, DOI 10.1016/j.agee.2007.10.007; Davis ALV, 2012, J INSECT CONSERV, V16, P399, DOI 10.1007/s10841-011-9426-3; Ribeiro PHD, 2022, BIODIVERS CONSERV, V31, P2723, DOI 10.1007/s10531-022-02453-2; Dominguez D, 2015, NEOTROP ENTOMOL, V44, P40, DOI 10.1007/s13744-014-0261-6; Escobar F, 2005, GLOBAL ECOL BIOGEOGR, V14, P327, DOI 10.1111/j.1466-822x.2005.00161.x; Escobar F, 2004, TROP ZOOL, V17, P123, DOI 10.1080/03946975.2004.10531202; Escobar F, 2000, MONGR TERC MILENIO, V1, P197; Escobar F., 2001, REV BIOL TROP, V48, P961; Etter A, 1993, NUESTRA DIVERSIDAD B, P43; Ezcurra E, 2016, P NATL ACAD SCI USA, V113, P5150, DOI 10.1073/pnas.1604829113; Filgueiras BKC, 2015, ECOL INDIC, V55, P65, DOI 10.1016/j.ecolind.2015.02.032; Galindo H., 2005, ESQUEMA ORDENAMIENTO; Gallagher G, 2018, IUCN RED LIST THREAT, DOI [10.2305/IUCN.UK.2018-2.RLTS.T194139A2302449.en, DOI 10.2305/IUCN.UK.2018-2.RLTS.T194139A2302449.EN]; Gardner TA, 2008, ECOL LETT, V11, P139, DOI 10.1111/j.1461-0248.2007.01133.x; Gascon C, 1999, BIOL CONSERV, V91, P223, DOI 10.1016/S0006-3207(99)00080-4; Genier F., 2009, GENRE EURYSTERNUS DA; Genier Francois, 1996, Memoirs of the Entomological Society of Canada, V170, P1; Glor RE, 2001, BIODIVERS CONSERV, V10, P711, DOI 10.1023/A:1016665011087; Gotelli NJ, 2001, PRIMER ECOLOGY, V3rd; HALFFTER GONZALO, 1966, FOLIA ENTOMOL MEX, V12/14, P1; Halffter Gonzalo, 1991, Folia Entomologica Mexicana, V0, P195; Halffter Gonzalo, 1993, Biology International, V27, P15; Hanski I., 1991, pi; HILL MO, 1973, ECOLOGY, V54, P427, DOI 10.2307/1934352; Hilt N, 2006, J TROP ECOL, V22, P155, DOI 10.1017/S0266467405003056; Horgan FG, 2005, FOREST ECOL MANAG, V216, P117, DOI 10.1016/j.foreco.2005.05.049; Horgan FG, 2008, BIODIVERS CONSERV, V17, P2961, DOI 10.1007/s10531-008-9408-2; Iannuzzi Luciana, 2016, ENTOMOTROPICA, V31, P196; IDEAM: Instituto de Hidrologia Meteorologia y Estudios Ambientales, 2010, CONS DESC DAT HIDR; Jost L, 2006, OIKOS, V113, P363, DOI 10.1111/j.2006.0030-1299.14714.x; Kiatoko N, 2017, INT J TROP INSECT SC, V37, P189, DOI [10.1017/S174275841700011X, 10.1017/s174275841700011x]; Kocher SD, 2000, J BIOGEOGR, V27, P785, DOI 10.1046/j.1365-2699.2000.00454.x; Korasaki Vanesca, 2012, Acta Amaz., V42, P423, DOI 10.1590/S0044-59672012000300015; Larsen TH, 2005, ECOL LETT, V8, P538, DOI 10.1111/j.1461-0248.2005.00749.x; Larsen TH, 2005, BIOTROPICA, V37, P322, DOI 10.1111/j.1744-7429.2005.00042.x; Larsen TH, 2006, COLEOPTS BULL, V60, P315, DOI 10.1649/0010-065X(2006)60[315:ETAHSB]2.0.CO;2; Larsen TH, 2012, BIOTROPICA, V44, P82, DOI 10.1111/j.1744-7429.2011.00768.x; Lira AFA, 2019, INT J TROP INSECT SC, V39, P211, DOI 10.1007/s42690-019-00029-2; Lloyd H, 2008, BIODIVERS CONSERV, V17, P2645, DOI 10.1007/s10531-008-9343-2; Lopera-Toro A., 2019, SERIE FAUNA SILVESTR, P377; Louzada J, 2010, LANDSCAPE ECOL, V25, P631, DOI 10.1007/s10980-010-9448-3; Magurran A.E., 2013, MEASURING BIOL DIVER; McKinney ML, 1999, TRENDS ECOL EVOL, V14, P450, DOI 10.1016/S0169-5347(99)01679-1; Medina CA, 2002, BIOTROPICA, V34, P181, DOI 10.1111/j.1744-7429.2002.tb00255.x; Medina Claudia A., 2001, Biota Colombiana, V2, P131; Medina Claudia Alejandra, 2000, Caldasia, V22, P299; Moctezuma Victor, 2021, Dugesiana, V28, P175; Rendon FM, 2010, REV MEX BIODIVERS, V81, P689; Nichols E, 2008, BIOL CONSERV, V141, P1461, DOI 10.1016/j.biocon.2008.04.011; Nichols E, 2007, BIOL CONSERV, V137, P1, DOI 10.1016/j.biocon.2007.01.023; Nunes CA, 2016, PLOS ONE, V11, DOI 10.1371/journal.pone.0157442; Oksanen Jari, 2020, CRAN; Otalora A., 2003, ACTA BIOL COLOMB, V8, P57; Pearman PB, 2002, ECOL MONOGR, V72, P19, DOI 10.1890/0012-9615(2002)072[0019:TSOCSH]2.0.CO;2; Prevedello JA, 2010, BIODIVERS CONSERV, V19, P1205, DOI 10.1007/s10531-009-9750-z; Pulido-Herrera LA, 2007, REV ACAD COLOMB CIEN, V31, P305; Quintero C, 2010, BIODIVERS CONSERV, V19, P257, DOI 10.1007/s10531-009-9720-5; Salomao RP, 2020, ECOL INDIC, V111, DOI 10.1016/j.ecolind.2019.105968; Santos BA, 2010, PLOS ONE, V5, DOI 10.1371/journal.pone.0012625; Sarkar D, 2018, PACKAGE LATTICE; SAUNDERS DA, 1991, CONSERV BIOL, V5, P18, DOI 10.1111/j.1523-1739.1991.tb00384.x; ScarabNet, 2009, SCARABNET GLOB TAX D; Scholtz A. D. L, 2009, EVOLUTIONARY BIOL CO; Magnago LFS, 2015, BIODIVERS CONSERV, V24, P2305, DOI 10.1007/s10531-015-0961-1; Simpson GL, 2018, PACKAGE PERMUTE; Spector S, 2006, COLEOPTS BULL, V60, P71, DOI 10.1649/0010-065X(2006)60[71:SDBCSS]2.0.CO;2; Tabarelli M, 2012, BIOL CONSERV, V155, P136, DOI 10.1016/j.biocon.2012.06.020; Tarasov S, 2016, BMC EVOL BIOL, V16, DOI 10.1186/s12862-016-0822-x; de Souza JMT, 2014, J INSECT SCI, V14, DOI 10.1093/jisesa/ieu098; Tscharntke T, 2008, ECOLOGY, V89, P944, DOI 10.1890/07-0455.1; Tylianakis JM, 2006, ECOLOGY, V87, P3047, DOI 10.1890/0012-9658(2006)87[3047:DEFASO]2.0.CO;2; Tylianakis JM, 2007, NATURE, V445, P202, DOI 10.1038/nature05429; Tylianakis JM, 2005, ECOLOGY, V86, P3296, DOI 10.1890/05-0371; Vargas-Ramirez LC, 2018, REV MEX BIODIVERS, V89, P479, DOI 10.22201/ib.20078706e.2018.2.1933; Vaz-de-Mello FZ, 2011, ZOOTAXA, P1; Vaz-de-Mello FZ, 2000, MONGR TERC MILENIO, V1, P183; Villada-Bedoya S, 2017, BIOTROPICA, V49, P195, DOI 10.1111/btp.12373</t>
  </si>
  <si>
    <t>2023 MAR 31</t>
  </si>
  <si>
    <t>10.1007/s42690-023-00987-8</t>
  </si>
  <si>
    <t>C3TN9</t>
  </si>
  <si>
    <t>WOS:000961180800002</t>
  </si>
  <si>
    <t>Olaya-Marin, EJ; Lemus-Portillo, C; Pedraza, MCE; Garcia, OAC; Roa-Fuentes, CA; Salazar-Galan, S; Pena, MB</t>
  </si>
  <si>
    <t>Olaya-Marin, Esther Julia; Lemus-Portillo, Ciromar; Pedraza, Monika Cristina Echavarria; Garcia, Oscar Andres Chaparro; Roa-Fuentes, Camilo Andres; Salazar-Galan, Sergio; Pena, Miguel Barrios</t>
  </si>
  <si>
    <t>Differences in body size and abundance of high Andean fishes, above and below the Neusa dam, Colombia</t>
  </si>
  <si>
    <t>endemic species; reservoir; flow regulation; indicators of hydrologic alteration; Andean streams</t>
  </si>
  <si>
    <t>RIVER-BASIN; HYDROLOGIC ALTERATION; RELATIVE ABUNDANCE; FRAMEWORK; INCREASE; IMPACTS; REGIME; FLOWS</t>
  </si>
  <si>
    <t>Introduction: Tropical rivers are increasingly being affected by fragmentation and regulation; and, in Colombia, dams are known to endanger endemic fishes through, among others, limited migration and reduced availability of sediment-based feeding networks. However, knowledge of native ichthyofauna affected by dams in high Andean rivers is still incipient. Objective: To assess the effects of the Neusa dam on the ichthyofauna. Methods: We compared two rivers??? sections, one above and one below the dam with the Richter IHA System, we sampled three 100 m long transects in each section, every two months, between 2017 and 2019. The fishes were returned to the river after body measurements. Results: We collected 729 individuals from five families; Trichomycterus bogotense were smaller under the dam; Oncorhynchus mykiss was smaller and less abundant; and there were no differences for Grundulus bogotensis and Eremophilus mutisii. Independently of climatic factors, O. mykiss and G. bogotensis were more abundant above the dam, and E. mutisii and T. bogotense under the dam. Conclusion: The five fish species differed in how the populations differed above and under the dam, suggesting that some are benefited by the dam, while others become smaller and less abundant.</t>
  </si>
  <si>
    <t>[Olaya-Marin, Esther Julia; Lemus-Portillo, Ciromar; Pedraza, Monika Cristina Echavarria; Garcia, Oscar Andres Chaparro] Univ Manuela Beltran, Av Circunvalar 60-00, Bogota, Colombia; [Roa-Fuentes, Camilo Andres] Univ Pedag &amp; Tecnol Colombia, Escuela Ciencias Biol, Ave Cent Norte 39-115, Tunja, Boyaca, Colombia; [Salazar-Galan, Sergio] Univ Nacl Colombia, Grp Invest Ingn Recursos Hidr, Bogota, Colombia; [Salazar-Galan, Sergio] Univ Politecn Valencia, Grp Invest Modelac Hidrol &amp; Ambiental, Valencia, Spain; [Olaya-Marin, Esther Julia; Pena, Miguel Barrios] Univ Tolima, Fac Ingn Forestal, Ibague, Colombia</t>
  </si>
  <si>
    <t>Universidad Manuela Beltran - UMB; Universidad Pedagogica y Tecnologica de Colombia (UPTC); Universidad Nacional de Colombia; Universitat Politecnica de Valencia; Universidad del Tolima</t>
  </si>
  <si>
    <t>Olaya-Marin, EJ (corresponding author), Univ Manuela Beltran, Av Circunvalar 60-00, Bogota, Colombia.;Olaya-Marin, EJ (corresponding author), Univ Tolima, Fac Ingn Forestal, Ibague, Colombia.</t>
  </si>
  <si>
    <t>estherjuliaolaya@gmail.com; ciromar.lemus@gmail.com; monikepe@hotmail.com; oscarandreschaparrog@gmail.com; camilo.roa@gmail.com; ansalazarga@unal.edu.co; mibarrios@ut.edu.co</t>
  </si>
  <si>
    <t>Salazar-Galán, Sergio/F-7096-2012; Barrios, Miguel/I-9546-2014</t>
  </si>
  <si>
    <t>Barrios, Miguel/0000-0002-7289-7887; Salazar-Galan, Sergio/0000-0003-2463-1790</t>
  </si>
  <si>
    <t>Aguirre WE, 2021, J FISH BIOL, V99, P1158, DOI 10.1111/jfb.14844; Alexiades AV, 2017, TROP CONSERV SCI, V10, DOI 10.1177/1940082917709598; Anderson EP, 2018, SCI ADV, V4, DOI 10.1126/sciadv.aao1642; Angarita H., 2016, BIODIVERSIDAD ECOSIS; Angarita H, 2018, HYDROL EARTH SYST SC, V22, P2839, DOI 10.5194/hess-22-2839-2018; Birnie-Gauvin K, 2017, J ENVIRON MANAGE, V204, P467, DOI 10.1016/j.jenvman.2017.09.022; Bond RM, 2015, J HYDROL-REG STUD, V4, P267, DOI 10.1016/j.ejrh.2015.07.002; Buddendorf WB, 2017, ECOL INDIC, V83, P292, DOI 10.1016/j.ecolind.2017.08.006; Butchart-Kuhlmann D, 2018, ECOL INDIC, V93, P470, DOI 10.1016/j.ecolind.2018.04.057; Carvajal-Quintero JD, 2017, CONSERV LETT, V10, P708, DOI 10.1111/conl.12336; Chaparro O., 2018, ALTERACION REGIMEN H; Clarkson RW, 2000, COPEIA, P402; Core Team R., 2013, R LANG ENV STAT COMP; Corporacion Autonoma Regional de Cundinamarca, 2018, REGLAMENTO OPERATIVO; Corporacion Autonoma Regional de Cundinamarca, 2019, AJUSTE ACTUALIZACION; Costa RMS, 2012, RIVER RES APPL, V28, P740, DOI 10.1002/rra.1598; Diaz G, 2021, SCI TOTAL ENVIRON, V766, DOI 10.1016/j.scitotenv.2020.144323; Fitzgerald DB, 2018, BIOL CONSERV, V222, P104, DOI 10.1016/j.biocon.2018.04.002; Fornaroli R, 2020, SCI TOTAL ENVIRON, V728, DOI 10.1016/j.scitotenv.2020.138052; Harper M, 2021, AQUAT CONSERV, V31, P2632, DOI 10.1002/aqc.3634; Hertel H., 1966, STRUCTURE FORM MOVEM; Hu WW, 2008, ECOL ENG, V33, P233, DOI 10.1016/j.ecoleng.2008.04.003; IDEAM, 2013, ZON COD UN HIDR HIDR; Olaya-Marin EJ, 2016, MEDITERR MAR SCI, V17, P264; Legendre P, 2001, OECOLOGIA, V129, P271, DOI 10.1007/s004420100716; Legendre P., 2012, NUMERICAL ECOLOGY, DOI [10.1016/B978-0-444-53868-0.50001-0, DOI 10.1016/B978-0-444-53868-0.50001-0]; Lozada G., 1999, REV ACAD COLOMB CIEN, V23, P539; Lu WW, 2018, J HYDROL, V567, P382, DOI 10.1016/j.jhydrol.2018.10.034; MACARTHUR RH, 1957, P NATL ACAD SCI USA, V43, P293, DOI 10.1073/pnas.43.3.293; Magilligan FJ, 2005, GEOMORPHOLOGY, V71, P61, DOI 10.1016/j.geomorph.2004.08.017; Maldonado-Ocampo J.A., 2005, PECES ANDES COLOMBIA; Martinez-Toro LM, 2022, CALDASIA, V44, P442, DOI 10.15446/caldasia.v44n2.93495; Mathews R, 2007, J AM WATER RESOUR AS, V43, P1400, DOI 10.1111/j.1752-1688.2007.00099.x; Merritt DM, 2010, FRESHWATER BIOL, V55, P206, DOI 10.1111/j.1365-2427.2009.02206.x; Ministerio de Ambiente y Desarrollo Sostenible, 2017, PROGRAMA NACL CONSER; Mojica J. I., 2012, LIBRO ROJO PECES DUL; Nilsson C, 2005, SCIENCE, V308, P405, DOI 10.1126/science.1107887; O'Mara K, 2021, SCI TOTAL ENVIRON, V788, DOI 10.1016/j.scitotenv.2021.147785; Oksanen J., 2007, VEGAN PACKAGE COMMUN; Poff NL, 2019, NATURE, V569, P201, DOI 10.1038/d41586-019-01393-2; Poff NL, 1997, BIOSCIENCE, V47, P769, DOI 10.2307/1313099; Restrepo JD, 2015, ANTHROPOCENE, V10, P13, DOI 10.1016/j.ancene.2015.09.001; Richter BD, 1996, CONSERV BIOL, V10, P1163, DOI 10.1046/j.1523-1739.1996.10041163.x; Roa-Fuentes Camilo Andrés, 2013, Univ. Sci., V18, P73; Rolls RJ, 2017, WATER FOR THE ENVIRONMENT: FROM POLICY AND SCIENCE TO IMPLEMENTATION AND MANAGEMENT, P65, DOI 10.1016/B978-0-12-803907-6.00004-8; Samanez I., 2014, METODOS COLECTA IDEN; Schinegger R, 2012, WATER ENVIRON J, V26, P261, DOI 10.1111/j.1747-6593.2011.00285.x; Schneider SC, 2017, SCI TOTAL ENVIRON, V579, P1059, DOI 10.1016/j.scitotenv.2016.11.060; Souter NJ, 2017, T ROY SOC SOUTH AUST, V141, P132, DOI 10.1080/03721426.2017.1381461; Sun JR, 2022, SCI TOTAL ENVIRON, V802, DOI 10.1016/j.scitotenv.2021.149720; TNC (The Nature Conservancy), 2009, IND HYDR ALT VERS 7; Tockner K, 2010, FRESHWATER BIOL, V55, P135, DOI 10.1111/j.1365-2427.2009.02371.x; Tranmer AW, 2018, ECOL MODEL, V368, P78, DOI 10.1016/j.ecolmodel.2017.11.010; Vazzoler, 1996, BIOL REPROD PEIXES T; Wang J, 2020, ENVIRON RES LETT, V15, DOI 10.1088/1748-9326/abc4fc; Ward JV, 2002, FRESHWATER BIOL, V47, P517, DOI 10.1046/j.1365-2427.2002.00893.x; WEBB PW, 1991, J EXP BIOL, V155, P219; Wohl E, 2015, BIOSCIENCE, V65, P358, DOI 10.1093/biosci/biv002</t>
  </si>
  <si>
    <t>10.15517/rev.biol.trop.2022.49776</t>
  </si>
  <si>
    <t>2Z7TC</t>
  </si>
  <si>
    <t>WOS:000826774400002</t>
  </si>
  <si>
    <t>Garcia-Caceres, RG; Delgado-Tobon, AE; Escobar-Velasquez, JW</t>
  </si>
  <si>
    <t>Guillermo Garcia-Caceres, Rafael; Emilio Delgado-Tobon, Arnoldo; Wilmer Escobar-Velasquez, John</t>
  </si>
  <si>
    <t>Selection of learning strategies supported on SMAA-M</t>
  </si>
  <si>
    <t>Pedagogical strategies; Color theory; Decision making process; SMAA-M</t>
  </si>
  <si>
    <t>DECISION-MAKING; TEACHERS</t>
  </si>
  <si>
    <t>The present work introduces a systematic decision making process which, based on Stochastic Multicriteria Acceptability Analysis - Matching, is aimed at supporting the selection of pedagogical strategies according to the theoretical paradigms provided by the Color Theory and the Learning Styles concept. This novel procedure is illustrated by an example which allowed comparison with the traditional decision mechanism. The results show that the innovation is valuable for case, since it allows a more tuned-to-reality solution that prioritizes relevant pedagogical strategies and discards insignificant ones. Another underlying advantage of this novel process as compared to the traditional one is the possibility it offers to develop a broader and more detailed analysis, since it provides both the set of pedagogical strategies for a course or group of students and a personalized analysis for each student, thus facilitating the teacher's work.</t>
  </si>
  <si>
    <t>[Guillermo Garcia-Caceres, Rafael] Univ Pedagog &amp; Tecnol Colombia UPTC, Sch Ind Engn, Sogamoso, Colombia; [Emilio Delgado-Tobon, Arnoldo] Univ Militar Nueva Granada, Sch Ind Engn, Bogota, Colombia; [Wilmer Escobar-Velasquez, John] Univ Valle, Sch Ind Engn, Cali, Colombia</t>
  </si>
  <si>
    <t>Universidad Pedagogica y Tecnologica de Colombia (UPTC); Universidad Militar Nueva Granada; Universidad del Valle</t>
  </si>
  <si>
    <t>Garcia-Caceres, RG (corresponding author), Univ Pedagog &amp; Tecnol Colombia UPTC, Sch Ind Engn, Sogamoso, Colombia.</t>
  </si>
  <si>
    <t>rafael.garcia01@uptc.edu.co</t>
  </si>
  <si>
    <t>García-Cáceres, Rafael Guillermo/0000-0003-0902-1038; Escobar, John Willmer/0000-0001-6175-9553</t>
  </si>
  <si>
    <t>Alkhatib Ghazi, 2018, Procedia Computer Science, V131, P139, DOI 10.1016/j.procs.2018.04.196; Allinson CW, 1996, J MANAGE STUD, V33, P119, DOI 10.1111/j.1467-6486.1996.tb00801.x; An D, 2017, PERS INDIV DIFFER, V116, P410, DOI 10.1016/j.paid.2017.04.050; BANA E COSTA CA, 1988, EUR J OPER RES, V33, P159, DOI 10.1016/0377-2217(88)90367-0; BANA E COSTA CA, 1986, EUR J OPER RES, V26, P22, DOI 10.1016/0377-2217(86)90156-6; Barros R.J., 2008, REV EDUC ING, V3, P11; CHARNETSKI JR, 1978, NAV RES LOG, V25, P279, DOI 10.1002/nav.3800250208; Coase RH, 1937, ECONOMICA-NEW SER, V4, P386, DOI 10.1111/j.1468-0335.1937.tb00002.x; Commission on Behavioral and Social Sciences and EducationCBASSE, 2000, PEOPLE LEARN BRAIN M; Cordova FM, 2016, PROCEDIA COMPUT SCI, V91, P65, DOI 10.1016/j.procs.2016.07.042; Deng QZ, 2017, LEARN INDIVID DIFFER, V56, P85, DOI 10.1016/j.lindif.2017.04.007; Derringer C, 2018, COGNITIVE PSYCHOL, V102, P41, DOI 10.1016/j.cogpsych.2018.01.002; Fink D., 2003, CREATING SIGNIFICANT; Fink L. D., 2013, CREATING SIGNIFICANT; Fink L. Dee, 2003, CREATIVE SIGNIFICANT; Forsstrom SE, 2019, LEARN CULT SOC INTER, V21, P378, DOI 10.1016/j.lcsi.2019.04.005; Garriott P., J VOCAT BEHAV, V124; Garcia-Caceres RG, 2020, OPER RES PERSPECT, V7, DOI 10.1016/j.orp.2020.100145; HERRMANN N, 1991, J CREATIVE BEHAV, V25, P275, DOI 10.1002/j.2162-6057.1991.tb01140.x; Herrmann N., 1996, WHOLE BRAIN BUSINESS; HERRMANN N, 1989, CREATIVE BRAIN; Keeney R., 1977, JSTOR, V7, P115; Kremer KP, 2019, CHILD YOUTH SERV REV, V104, DOI 10.1016/j.childyouth.2019.104396; Lahdelma R, 1998, EUR J OPER RES, V106, P137, DOI 10.1016/S0377-2217(97)00163-X; Lahdelma R, 2001, OPER RES, V49, P444, DOI 10.1287/opre.49.3.444.11220; Palloff R., 2003, VIRTUAL STUDENT PROF; Pelissari R, 2020, ANN OPER RES, V293, P433, DOI 10.1007/s10479-019-03151-z; WILLIAMSON OE, 1991, ADMIN SCI QUART, V36, P269, DOI 10.2307/2393356; Williamson Oliver E., 1975, MARKETS HIERARCHIES; Wittrock M., 2001, TAXONOMY LEARNING TE; Wu HY, 2014, THINK SKILLS CREAT, V11, P1, DOI 10.1016/j.tsc.2013.09.004; Yigit T, 2014, PROCD SOC BEHV, V141, P813, DOI 10.1016/j.sbspro.2014.05.141</t>
  </si>
  <si>
    <t>e08978</t>
  </si>
  <si>
    <t>10.1016/j.heliyon.2022.e08978</t>
  </si>
  <si>
    <t>ZQ6PR</t>
  </si>
  <si>
    <t>WOS:000767225100142</t>
  </si>
  <si>
    <t>Tapias, JC; Farfan, CAR</t>
  </si>
  <si>
    <t>Tapias, Joselyn Corredor; Farfan, Cesar Augusto Romero</t>
  </si>
  <si>
    <t>Jaime Bernal Leongomez: Stellar linguist and excellent teacher (in memoriam)</t>
  </si>
  <si>
    <t>Biographical-Item</t>
  </si>
  <si>
    <t>[Tapias, Joselyn Corredor; Farfan, Cesar Augusto Romero] UPTC, Escuela Idiomas, Tunja, Colombia; [Tapias, Joselyn Corredor; Farfan, Cesar Augusto Romero] EPISTEME, Florianopolis, SC, Brazil</t>
  </si>
  <si>
    <t>Tapias, JC (corresponding author), UPTC, Escuela Idiomas, Tunja, Colombia.;Tapias, JC (corresponding author), EPISTEME, Florianopolis, SC, Brazil.</t>
  </si>
  <si>
    <t>joselyn1973@yahoo.es; cesar.romero@uptc.edu.co</t>
  </si>
  <si>
    <t>Academia Colombiana de la Lengua, 2012, VIGIA IDIOMA; Asociacion de Academias de la Lengua Espanola, 2015, DICC AM; Asociacion de Academias de la Lengua Espanola ASALE., 2021, NOT FALL JAIM BERN; Bernal L., 2001, LENGUAJE COGNICION U; Bernal L, 1984, 3 MOMENTOS ESTELARES; Bernal L, 1986, ANTOLOGIA LINGUISTIC; Bernal L, 1983, THESAURUS B I CARO Y, V38, P493; Bernal L, 2008, PANORAMA LINGUISTAS; Bernal L., 1982, ELEMENTOS GRAMATICA; Bernal L. J, 2000, B ACAD COLOMBIANA LE, V51, P72; Cruz E. E, 2014, DISCURSO PRONUNCIADO; Fundacion Princesa de Asturias, 1999, PREM PRINC AST COM; Gil O., 2013, VIAJE MEMORIA ESCUEL; Instituto Caro y Cuervo, 2018, DICC COL; Olano C. C, 1993, ENSAYO HUMANISMO BOY; Pabon V. G, 2007, RINCONETE NUESTROS F; Redaccion El Tiempo, 2007, PODER LENGUA IDIOMA</t>
  </si>
  <si>
    <t>e14026</t>
  </si>
  <si>
    <t>10.19053/0121053X.n39.2022.14026</t>
  </si>
  <si>
    <t>ZR4YN</t>
  </si>
  <si>
    <t>WOS:000767790500001</t>
  </si>
  <si>
    <t>Isaza-Zapata, V; Maya, CE; Gomez, A; Bezzon, VDN; Supelano, I; Saavedra, IM; Parra, CA; Astudillo, JA; Bolanos, G; Dionizio, S; Izquierdo, JL; Moran, O</t>
  </si>
  <si>
    <t>Isaza-Zapata, V; Maya, C. E.; Gomez, A.; Bezzon, V. D. N.; Supelano, I; Saavedra, I. M.; Parra, C. A.; Astudillo, J. A.; Bolanos, G.; Dionizio, S.; Izquierdo, J. L.; Moran, O.</t>
  </si>
  <si>
    <t>Structural aspects and magnetoelectric behavior of hexagonal Sr1-xBaxMnO3 (x=0, 0.4) manganites: Effect of leakage currents</t>
  </si>
  <si>
    <t>PHYSICS LETTERS A</t>
  </si>
  <si>
    <t>Ferroelectric; Manganites; Multiferroics; Perovskites</t>
  </si>
  <si>
    <t>SRMNO3; REFINEMENT; SPIN</t>
  </si>
  <si>
    <t>Structural, morphological, magnetic, and electrical properties of the challenging Sr1-xBaxMnO3 (x=0, 0.4) manganite are discussed. Polycrystalline Sr1-xBaxMnO3 samples were prepared via the standard solid-state reaction. Conventional X-ray diffraction and synchrotron radiation measurements showed the hexagonal structure (space group P6(3)/mmc) of the samples. The stability of the hexagonal symmetry of Sr0.6Ba0.4MnO3 persisted up to 120 K. This result, along with the fact that the space group P6(3)/mmc is centrosymmetric, discounted the possibility of having a long-range ferroelectric ordering. Pristine SrMnO3 samples exhibited an antiferromagnetic transition at a Neel temperature similar to 280 K. In turn, Sr0.6Ba0.4MnO3 showed two transitions at similar to 325 K and similar to 270 K. Measurements of the electrical polarization versus the electric field showed closed loops, although visually distinct from those of a true ferroelectric material. Hence it was evident that spurious effects caused the polarization curves that resembled ferroelectric loops. Resistivity measurements on Sr0.6Ba0.4MnO3 showed the insulating nature of these samples. (C) 2022 Elsevier B.V. All rights reserved.</t>
  </si>
  <si>
    <t>[Isaza-Zapata, V; Maya, C. E.; Gomez, A.; Izquierdo, J. L.] Inst Univ Pascual Bravo, Fac Ingn, Grp Invest &amp; Innovac Energia GIIEN, Medellin 050001, Colombia; [Gomez, A.; Izquierdo, J. L.; Moran, O.] Univ Nacl Colombia, Fac Ciencias, Dept Fis, Adv Oxides Grp, Campus Medellin, Medellin 050001, Colombia; [Bezzon, V. D. N.] Fed Univ ABC, Ctr Nat &amp; Human Sci CCNH, Sao Paulo, SP, Brazil; [Supelano, I; Saavedra, I. M.; Parra, C. A.] Univ Pedag &amp; Tecnol Colombia, Grp Fis Mat, Escuela Fis, Ave Cent Norte 39-115, Tunja 150003, Colombia; [Astudillo, J. A.; Bolanos, G.; Dionizio, S.] Univ Cauca, Dept Fis, Lab Bajas Temp, Popayan 19000, Colombia</t>
  </si>
  <si>
    <t>Universidad Nacional de Colombia; Universidade Federal do ABC (UFABC); Universidad Pedagogica y Tecnologica de Colombia (UPTC); Universidad del Cauca</t>
  </si>
  <si>
    <t>Moran, O (corresponding author), Univ Nacl Colombia, Fac Ciencias, Dept Fis, Adv Oxides Grp, Campus Medellin, Medellin 050001, Colombia.</t>
  </si>
  <si>
    <t>omorac@unal.edu.co</t>
  </si>
  <si>
    <t>Supelano, Iván/A-9263-2016</t>
  </si>
  <si>
    <t>Saavedra Gaona, Indry Milena/0000-0002-8354-1886; Supelano, Ivan/0000-0002-8020-2686; Nonato Bezzon, Vinicius Danilo/0000-0001-8399-1927; Gomez Zapata, Adrian/0000-0002-3536-1629</t>
  </si>
  <si>
    <t>Direccion de Tecnologia e Innovacion of the Institucion Universitaria Pascual Bravo Grant [IN201709]; Universidad Nacional de Colombia-sede Medellin</t>
  </si>
  <si>
    <t>Direccion de Tecnologia e Innovacion of the Institucion Universitaria Pascual Bravo Grant; Universidad Nacional de Colombia-sede Medellin</t>
  </si>
  <si>
    <t>V. Isaza-Zapata, J.L. Izquierdo, and C.E. Maya acknowledge the financial support from Direccion de Tecnologia e Innovacion of the Institucion Universitaria Pascual Bravo Grant number IN201709. O.M. acknowledges the financial support of the Universidad Nacional de Colombia-sede Medellin. The authors want to thank Prof. Dr. Jose Luis Garcia for the collaboration with the synchrotron measurements.</t>
  </si>
  <si>
    <t>Abbas SK, 2017, MATER CHEM PHYS, V200, P128, DOI 10.1016/j.matchemphys.2017.07.039; Aich P, 2019, J MATER CHEM C, V7, P3560, DOI 10.1039/c8tc04293d; BATTLE PD, 1988, J SOLID STATE CHEM, V74, P60, DOI 10.1016/0022-4596(88)90331-3; Belik AA, 2011, PHYS REV B, V84, DOI 10.1103/PhysRevB.84.094438; Chamberland B L, 1970, J SOLID STATE CHEM, V1, P506; Cheong SW, 2007, NAT MATER, V6, P13, DOI 10.1038/nmat1804; Chmaissem O, 2001, PHYS REV B, V64, DOI 10.1103/PhysRevB.64.134412; Coelho AA, 2018, J APPL CRYSTALLOGR, V51, P210, DOI 10.1107/S1600576718000183; Coelho AA, 2017, J APPL CRYSTALLOGR, V50, P1323, DOI 10.1107/S1600576717011359; Daoud-Aladine A, 2007, PHYS REV B, V75, DOI 10.1103/PhysRevB.75.104417; Dimple P., 2010, NANOSCALE, V2, P1149; Dong S, 2007, APPL PHYS LETT, V90, DOI 10.1063/1.2709911; Fennie CJ, 2006, PHYS REV LETT, V97, DOI 10.1103/PhysRevLett.97.267602; Glinchuk MD, 2014, PHYS REV B, V89, DOI 10.1103/PhysRevB.89.014112; Kozuka H, 2013, J MATER CHEM A, V1, P3249, DOI 10.1039/c3ta00982c; Kundu AK, 2005, PHYS REV B, V72, DOI 10.1103/PhysRevB.72.220101; KURODA K, 1981, J SOLID STATE CHEM, V38, P297, DOI 10.1016/0022-4596(81)90059-1; Lee JH, 2010, PHYS REV LETT, V104, DOI 10.1103/PhysRevLett.104.207204; Maurel L, 2015, PHYS REV B, V92, DOI 10.1103/PhysRevB.92.024419; Parras M., 2014, MATER RES STAND, V1708; PAWLEY GS, 1981, J APPL CRYSTALLOGR, V14, P357, DOI 10.1107/S0021889881009618; Raghunathan R, 2006, PHYS REV B, V73, DOI 10.1103/PhysRevB.73.104438; Rawat R, 2020, J MAGN MAGN MATER, V497, DOI 10.1016/j.jmmm.2019.165972; Rawat R, 2019, J ALLOY COMPD, V796, P237, DOI 10.1016/j.jallcom.2019.05.003; Rawat R, 2017, J MAGN MAGN MATER, V441, P398, DOI 10.1016/j.jmmm.2017.05.089; RIETVELD HM, 1969, J APPL CRYSTALLOGR, V2, P65, DOI 10.1107/S0021889869006558; Sakai H, 2011, PHYS REV LETT, V107, DOI 10.1103/PhysRevLett.107.137601; Sakai H, 2010, PHYS REV B, V82, DOI 10.1103/PhysRevB.82.180409; Scott JF, 2008, J PHYS-CONDENS MAT, V20, DOI 10.1088/0953-8984/20/02/021001; Somaily H, 2018, PHYS REV MATER, V2, DOI 10.1103/PhysRevMaterials.2.054408; Sondena R, 2007, PHYS REV B, V75, DOI 10.1103/PhysRevB.75.214307; Stinton GW, 2007, J APPL CRYSTALLOGR, V40, P87, DOI 10.1107/S0021889806043275; WILLIS BTM, 1954, P PHYS SOC LOND B, V67, P290, DOI 10.1088/0370-1301/67/4/302</t>
  </si>
  <si>
    <t>0375-9601</t>
  </si>
  <si>
    <t>1873-2429</t>
  </si>
  <si>
    <t>PHYS LETT A</t>
  </si>
  <si>
    <t>Phys. Lett. A</t>
  </si>
  <si>
    <t>MAY 6</t>
  </si>
  <si>
    <t>10.1016/j.physleta.2022.128019</t>
  </si>
  <si>
    <t>3T2QC</t>
  </si>
  <si>
    <t>WOS:000840124600001</t>
  </si>
  <si>
    <t>Monsalve-Pulido, J; Aguilar, J; Montoya, E</t>
  </si>
  <si>
    <t>Monsalve-Pulido, Julian; Aguilar, Jose; Montoya, Edwin</t>
  </si>
  <si>
    <t>Framework for the adaptation of an autonomous academic recommendation system as a service-oriented architecture</t>
  </si>
  <si>
    <t>EDUCATION AND INFORMATION TECHNOLOGIES</t>
  </si>
  <si>
    <t>Academic recommendation systems; Autonomous computing; Service-oriented architecture</t>
  </si>
  <si>
    <t>MODEL; SOMA</t>
  </si>
  <si>
    <t>The adaptation of traditional systems to service-oriented architectures is very frequent, due to the increase in technologies for this type of architecture. This has led to the construction of frameworks or methodologies for adapting computational projects to service-oriented architecture (SOA) technology. In this work, a framework for adaptation to SOA in an educational organization is presented, through a specific case of adaptation of an autonomous recommendation system. The framework has a business model that extracts the specific needs of the organization and that will help to project the service architecture from an administrative perspective for a generation of value. The framework has components that conform to the organizational governance of Information Technology (IT) linked to the control mechanisms managed by any IT government of the organization. Finally, the framework has a self-management process that integrates intelligent mechanisms or paradigms for any autonomous process that manages the SOA. In general, the framework describes a methodological process of four general phases, allowing to identify requirements, design services, develop them, and deploy them in an organization, to be managed through control mechanisms through governance. The framework was tested in the adaptation of an autonomous recommendation system for virtual learning environments (VLE), which has two main processes, the creation of an academic course and the use of the course.</t>
  </si>
  <si>
    <t>[Monsalve-Pulido, Julian] Univ Santo Tomas Secc Tunja, GIDINT, Boyaca, Colombia; [Monsalve-Pulido, Julian] Univ Pedag &amp; Tecnol Colombia, GIMI, Tunja, Colombia; [Aguilar, Jose; Montoya, Edwin] Univ EAFIT, GIDITIC, Medellin, Colombia; [Aguilar, Jose] Univ Los Andes, CEMISID, Merida, Venezuela; [Aguilar, Jose] Univ Alcala, Dept Automat, Alcala De Henares, Spain</t>
  </si>
  <si>
    <t>Universidad Santo Tomas USTA; Universidad Pedagogica y Tecnologica de Colombia (UPTC); Universidad EAFIT; University of Los Andes Venezuela; Universidad de Alcala</t>
  </si>
  <si>
    <t>Aguilar, J (corresponding author), Univ EAFIT, GIDITIC, Medellin, Colombia.;Aguilar, J (corresponding author), Univ Los Andes, CEMISID, Merida, Venezuela.;Aguilar, J (corresponding author), Univ Alcala, Dept Automat, Alcala De Henares, Spain.</t>
  </si>
  <si>
    <t>jmsistemas@gmail.com; aguilar@ula.ve; emontoya@eafit.edu.co</t>
  </si>
  <si>
    <t>; Aguilar, Jose/H-3017-2015</t>
  </si>
  <si>
    <t>Monsalve Pulido, Julian Alberto/0000-0002-0706-5881; Aguilar, Jose/0000-0003-4194-6882</t>
  </si>
  <si>
    <t>Analitica Avanzada e IA - Ministry of Science - Government of Antioquia - Republic of Colombia [64366]</t>
  </si>
  <si>
    <t>Analitica Avanzada e IA - Ministry of Science - Government of Antioquia - Republic of Colombia</t>
  </si>
  <si>
    <t>This work has been supported by the project 64366: Contenidos de aprendizaje inteligentes a traves del uso de herramientas de Big Data, Analitica Avanzada e IA - Ministry of Science - Government of Antioquia - Republic of Colombia.</t>
  </si>
  <si>
    <t>Abdul-Manan M, 2013, INT J INTELL INF TEC, V9, P21, DOI 10.4018/jiit.2013040103; Aguilar J, 2005, LECT NOTES ARTIF INT, V3681, P191; Aguilar J, 2022, INTERACT LEARN ENVIR, V30, P245, DOI 10.1080/10494820.2019.1651745; Aguilar J., 2008, INTELIGENCIA ARTIFIC; Al-Debei MM, 2010, EUR J INFORM SYST, V19, P359, DOI 10.1057/ejis.2010.21; Arsanjani A, 2008, IBM SYST J, V47, P377, DOI 10.1147/sj.473.0377; Arsanjani A., 2004, IBM DEV WORKS, P1; Bakhouyi A, 2019, 2019 2ND INTERNATIONAL CONFERENCE ON COMPUTER APPLICATIONS &amp; INFORMATION SECURITY (ICCAIS); Bernhardt J, 2009, LECT NOTES COMPUT SC, V5472, P327, DOI 10.1007/978-3-642-01247-1_34; Bitner MJ, 2008, CALIF MANAGE REV, V50, P66, DOI 10.2307/41166446; Emadi Marzieh, 2012, Proceedings of the 2012 IEEE International Conference on Computer Science and Automation Engineering (CSAE), P350; Erl T., 2005, SERVICE ORIENTED ARC; Fajar Ahmad Nurul, 2018, Procedia Computer Science, V135, P354, DOI 10.1016/j.procs.2018.08.184; Farsi M, 2019, IEEE ACCESS, V7, P107699, DOI 10.1109/ACCESS.2019.2932683; Heffner R., 2009, INSIGHTS CIOS SOA; Hojaji F., 2010, Proceedings of the 2010 IEEE Congress on Services (SERVICES-1), P407, DOI 10.1109/SERVICES.2010.33; Hu J, 2011, J NETW COMPUT APPL, V34, P1150, DOI 10.1016/j.jnca.2010.11.013; Jie-Ying Chen, 2008, 2008 9th International Conference on Web-Age Information Management (WAIM), P629, DOI 10.1109/WAIM.2008.67; Monsalve-Pulido J., 2020, APPL COMPUTING INFOR; National Center for Education Statistics, 2014, 2014083 NCES; Osterwalder, 2010, BUSINESS MODEL GENER; Perozo N, 2013, IEEE T CYBERNETICS, V43, P64, DOI 10.1109/TSMCB.2012.2199106; Perumal T., 2014, INT J SMART HOME, V8, P197, DOI [10.14257/ijsh.2014.8.5.18, DOI 10.14257/IJSH.2014.8.5.18]; Sanchez M, 2016, ADV INTELL SYST, V444, P993, DOI 10.1007/978-3-319-31232-3_94; Saran C., 2006, COMPUTER WEEKLY, V12; Suhardi S., 2015, TELKOMNIKA TELECOMMU, V13, P1466, DOI [10.12928/telkomnika.v13i4.2388, DOI 10.12928/telkomnika.v13i4.2388]; Teran J, 2017, COMPUT IND, V91, P11, DOI 10.1016/j.compind.2017.05.002; van der Aalst Wil M. P., 2007, International Journal of Business Process Integration and Management, V2, P91, DOI 10.1504/IJBPIM.2007.015132; Vizcarrondo J, 2017, IEEE LAT AM T, V15, P1163, DOI 10.1109/TLA.2017.7932705; Vizcarrondo J, 2012, GLOB INFORM INFRAS; Wijayanto AW, 2014, INT CONF ICT SMART S, P49, DOI 10.1109/ICTSS.2014.7013150; Yu Cheng, 2008, IEEE Communications Magazine, V46, P138</t>
  </si>
  <si>
    <t>1360-2357</t>
  </si>
  <si>
    <t>1573-7608</t>
  </si>
  <si>
    <t>EDUC INF TECHNOL</t>
  </si>
  <si>
    <t>Educ. Inf. Technol.</t>
  </si>
  <si>
    <t>10.1007/s10639-022-11172-8</t>
  </si>
  <si>
    <t>A7TK9</t>
  </si>
  <si>
    <t>WOS:000818610100005</t>
  </si>
  <si>
    <t>Sierra, MAC</t>
  </si>
  <si>
    <t>Castiblanco Sierra, Miguel Angel</t>
  </si>
  <si>
    <t>Geomorphological anthropogenic dynamics in the municipality of Chia (Cundinamarca, Colombia) [T1]</t>
  </si>
  <si>
    <t>retrospective mapping; anthropogeomorphological footprint; anthropogenic modeling; Bogota river; urbanization</t>
  </si>
  <si>
    <t>This article describes and analyzes the anthropogeomorphological interventions and changes in the territory of Chia, located in central Colombia in the Eastern Andean Mountain range. The research was based on the advances of the sub-discipline anthropogeomorphology and was elaborated from a documentary review, photo-interpretation of inputs, fieldwork and quantitative examination of data. The results show an account of human actions, with graphic examples of the phenomenon and characterizations at a scale of 1:10,000 for four reference periods (1940, 1977, 2000 and 2020); the patterns and trends of the interventions in relation to the natural morphogenic systems were also defined and the footprint of the anthropogeomorphs was estimated according to the magnitude of the excavations and artificial accumulations. We conclude on the current predominance of urbanogenic, transit, water management and waste modeling for the fluvial-lacustrine environments of the altiplano, while, on the mountainous flanks, the predominance of agro-genic and mining modeling is highlighted, with the increase of suburban morphologies.</t>
  </si>
  <si>
    <t>[Castiblanco Sierra, Miguel Angel] UPTC IGAC, Geog, Programa Estudios Posgrad Geog EPG, Boyaca, Colombia</t>
  </si>
  <si>
    <t>Sierra, MAC (corresponding author), UPTC IGAC, Geog, Programa Estudios Posgrad Geog EPG, Boyaca, Colombia.</t>
  </si>
  <si>
    <t>macastiblancos@unal.edu.co</t>
  </si>
  <si>
    <t>Alcaldia de Chia, 2020, DIAGN MUN CHIN PLAN; Alcaldia Mayor de Bogota, 2000, MON TERR CHIN REG BO; Angarita T., 2015, THESIS U ROSARIO; [Anonymous], 1983, MAN GEOMORPHOLOGICAL; Ardila G. I., 1984, CHIA SITIO PRECERAMI; Avila N., 2017, THESIS U NACL COLOMB; Bautista L., 2014, THESIS PONTIFICIA U; Boada A., 2007, PATRONES ASENTAMIENT; Brown AG, 2017, EARTH SURF PROC LAND, V42, P71, DOI 10.1002/esp.3943; Casseti V., 1995, AMBIENTE APROPRIACAO, V2a; Castiblanco M., 2020, PHYS TERRAE REV IB A, V2, P21, DOI [10.21814/physisterrae.2968, DOI 10.21814/PHYSISTERRAE.2968]; Castro J., 2019, TESIS PREGRADO; Ceballos J., 2007, PERSPECT GEOGR, V12, P153; Cendrero A., 2006, REV REAL ACAD CIENCI, V100, P187; Cendrero A., 2017, DEBATE ANTROPOCENO R; Congreso de la Republica, 1993, LEY GEN AMB COL; Contreras Y., 2017, ESTADO VIVIENDA ESPA; Cortes J., 2016, THESIS U MANIZALES; Cristancho H., 2010, THESIS U NACL COLOMB; Delgado J., 2010, CONSTRUCCION SOCIAL; Diaz P., 2013, REV NODO, V8, P97; Florez A., 2009, LECTURAS TEORIA GEOG, P273; FLOREZ A, 2003, COLOMBIA EVOLUCION S; GOUDIE A, 1993, GEOMORPHOLOGY, V7, P37, DOI 10.1016/0169-555X(93)90011-P; Goudie AS, 2016, GEOMORPHOLOGY ANTHRO; Gutierrez M., 2007, REV REAL ACAD CIENCI, V101, P211; Haggett P., 1994, GEOGRAFIA SINTESIS M; Instituto de Hidrologia Meteorologia y Estudios Ambientales (IDEAM), 2010, SIST MORF TERR COL; Instituto Geografico Agustin Codazzi (IGAC), 2007, ATL CUND; Li JL, 2017, J GEOGR SCI, V27, P109, DOI 10.1007/s11442-017-1367-7; Loczy D., 2011, SAGE HDB GEOMORPHOLO, P267; Loczy Denes, SAGE HDB GEOMORPHOLO, P260, DOI [10.4135/9781446201053.n15, DOI 10.4135/9781446201053.N15]; Lopez M., 2014, ESTAMPAS HIST CIUDAD; Matiz C., 1941, CHIA CIUDAD LUNA; Meyer W., 1997, 10 GEOGRAPHIC IDEAS, P125; Naranjo M., 2016, TERRITORIO MHUYSQA A; Osorio G., 2011, SEGREGACION RESIDENC; Panizza M., 1996, DEV EARTH SURFACE PR, V4; PELOGGIA A.U.G, 2014, REV QUATERNARY ENV G, V5, P67, DOI DOI 10.5380/ABEQUA.V5I2.34811; RODRIGUES C., 2005, REV DEP GEOGRAFIA, V17, P101, DOI [10.7154/RDG.2005.0017.0008, DOI 10.7154/RDG.2005.0017.0008]; Rodriguez Gallo L, 2019, SPAL, V28, P193, DOI [10.12795/spal.2019.i28.09, DOI 10.12795/SPAL.2019.I28.09]; Rozsa P, 2007, GEOGR FIS DIN QUAT, V30, P233; Rozsa P, 2020, ERDKUNDE, V74, P45, DOI 10.3112/erdkunde.2020.01.03; Santos M., 1996, METAMORFOSIS ESPACIO; Serrato A.P.K., 2009, REV PERSPECTIVA GEOG, V14, P181; Soler M., 2018, THESIS U EXTERNADO C; Szabo J, 2010, ANTHROPOGENIC GEOMORPHOLOGY: A GUIDE TO MAN-MADE LANDFORMS, P1; Tarolli P, 2019, PROG PHYS GEOG, V43, P95, DOI 10.1177/0309133318825284; Zambrano F., 1993, CIUDAD TERRITORIO PR, DOI [10.4000/books.ifea.2083, DOI 10.4000/BOOKS.IFEA.2083]</t>
  </si>
  <si>
    <t>10.19053/01233769.13568</t>
  </si>
  <si>
    <t>5W4ED</t>
  </si>
  <si>
    <t>WOS:000877868500003</t>
  </si>
  <si>
    <t>Rodriguez, LM; Ortega, EP; Medina, BLM; Balaguera-Lopez, HE; Hernandez, JP</t>
  </si>
  <si>
    <t>Rodriguez, Laura Maestre; Ortega, Edgar Palacios; Medina, Brigitte Liliana Moreno; Balaguera-Lopez, Helber Enrique; Hernandez, Juan Pablo</t>
  </si>
  <si>
    <t>Hydroalcoholic Extracts of Campomanesia lineatifolia R. &amp; P. Seeds Inhibit the Germination of Rumex crispus and Amaranthus hybridus</t>
  </si>
  <si>
    <t>weeds; germination; phenolics; allelopathy; bioherbicides</t>
  </si>
  <si>
    <t>This study explores how hydroalcoholic extracts of Campomanesia lineatifolia R. and P. seeds affect the germination and viability of seeds from two weeds, Rumex crispus and Amaranthus hybridus. The phenolic compounds were initially characterized using ultra-high-performance liquid chromatography. In seeds sown in Petri dishes, four concentrations of hydroalcoholic extracts (0%, 3%, 6%, and 9% w/v) were used for single and continuous applications. The mean germination speed, mean germination time, germination percentage, and seed viability were evaluated. Epigallocatechin gallate, quercetin-3-glucoside, epicatechin gallate, ursolic acid, epigallocatechin, and trans-cinnamic acid were the main compounds discovered in that order. Notably, while the germination percentages of both species were reduced with a single application (38.5% for R. crispus and 52% for A. hybridus), they were reduced by 76.2% and 58.34% with a continuous application, respectively. A delay in germination was also observed, which produced changes in germination speed throughout the experiment. With a 9% application, the number of nonviable seeds of R. crispus increased by 40.53%, whereas in A. hybridus, viability decreased by at least 70.8%. Overall, the phenolic compounds in C. lineatifolia extract are thought to inhibit the germination process of the evaluated species.</t>
  </si>
  <si>
    <t>[Rodriguez, Laura Maestre; Ortega, Edgar Palacios; Hernandez, Juan Pablo] Univ El Bosque GRIB, Fac Sci, Biol Program, Biol Res Grp,Biol Res Lab INBIBO, Bogota 110121, Colombia; [Ortega, Edgar Palacios] Univ Jorge Tadeo Lozano, Fac Ciencias Nat &amp; Ingn, Cra 4 22-61, Bogota 140196, Colombia; [Medina, Brigitte Liliana Moreno] Univ Pedag &amp; Tecnol Colombia UPTC, Fac Ciencias Agr, Tunja 150002, Colombia; [Balaguera-Lopez, Helber Enrique] Univ Nacl Colombia, Fac Ciencias Agr, Dept Agron, Carrera 30 45-03 Edificio 500, Bogota 111321, Colombia; [Hernandez, Juan Pablo] Bashan Inst Sci, 1730 Post Oak Court, Auburn, AL 36830 USA; [Hernandez, Juan Pablo] Inst Estudios Super Ciudad Mexico Rosario Castell, Ave 506 S-N,San Juan Aragon 2 Secc, Mexico City 07969, Mexico</t>
  </si>
  <si>
    <t>Hernandez, JP (corresponding author), Univ El Bosque GRIB, Fac Sci, Biol Program, Biol Res Grp,Biol Res Lab INBIBO, Bogota 110121, Colombia.;Hernandez, JP (corresponding author), Bashan Inst Sci, 1730 Post Oak Court, Auburn, AL 36830 USA.;Hernandez, JP (corresponding author), Inst Estudios Super Ciudad Mexico Rosario Castell, Ave 506 S-N,San Juan Aragon 2 Secc, Mexico City 07969, Mexico.</t>
  </si>
  <si>
    <t>jphernandezs@unbosque.edu.co</t>
  </si>
  <si>
    <t>Palacios-Ortega, Edgar Alfonso/0000-0003-3349-824X; Balaguera Lopez, Helber Enrique/0000-0003-3133-0355</t>
  </si>
  <si>
    <t>Biology Program of Universidad El Bosque; Bashan Foundation</t>
  </si>
  <si>
    <t>At the Biology Program of Universidad El Bosque and the Bashan Foundation for the partial financing of the project. We also thank Sergio A. Llano for the critical reading of themanuscript and Aura Lizeth Balaguera Lopez for the photographic record of the plant's fruit</t>
  </si>
  <si>
    <t>Ahammed GJ, 2020, J PLANT GROWTH REGUL, V39, P1414, DOI 10.1007/s00344-020-10089-1; Álvarez-Herrera Javier Giovanni, 2009, Agron. colomb., V27, P253; Arafat Y., 2015, Academia Journal of Agricultural Research, V3, P226; Barco-Antonanzas M, 2022, PLANT SCI, V318, DOI 10.1016/j.plantsci.2022.111212; Baskin CC, 2014, SEEDS: ECOLOGY, BIOGEOGRAPHY, AND EVOLUTION OF DORMANCY AND GERMINATION, 2ND EDITION, P1; Bocker T, 2019, AGR SYST, V173, P378, DOI 10.1016/j.agsy.2019.03.001; Bonilla A, 2005, PHYTOCHEMISTRY, V66, P1736, DOI 10.1016/j.phytochem.2005.05.025; Cabeza-Cepeda C., 2021, REV CORPOICA-CIENC T, V22, pe2010, DOI [10.21930/rcta.vol22_num3_art:2010, DOI 10.21930/RCTA.VOL22_NUM3_ART:2010]; Martinez Cárdenas Claudia Andrea, 2022, Agron. colomb., V40, P49, DOI 10.15446/agron.colomb.v40n1.98502; Carranza Carlos, 2009, Agron. colomb., V27, P41; Catunda M.G., 2002, CERES, V49, P1; Chauhan A, 2022, J FOOD MEAS CHARACT, V16, P1777, DOI 10.1007/s11694-022-01292-7; Dellaferrera I, 2018, AGRONOMY-BASEL, V8, DOI 10.3390/agronomy8080140; El-Shora HM, 2022, J PLANT INTERACT, V17, P267, DOI 10.1080/17429145.2022.2028915; Elias G., 2012, SEED TESTING PRINCIP, P22; Fan PH, 2010, CHEMOECOLOGY, V20, P223, DOI 10.1007/s00049-010-0052-4; Garcia MJ, 2020, SCI REP-UK, V10, DOI 10.1038/s41598-020-74430-0; Gil A.I., 2010, REV COLOMB CIENC HOR, V4, P209, DOI [10.17584/rcch.2010v4i2.1242, DOI 10.17584/RCCH.2010V4I2.1242]; Gindri DM, 2020, PESQUI AGROPECU TROP, V50, DOI [10.1590/1983-40632019v5057746, 10.1590/1983-40632020v5057746]; Guglielmini Antonio C, 2007, Ecol. austral, V17, P167; Imatomi M, 2013, ACTA BOT BRAS, V27, P54, DOI 10.1590/S0102-33062013000100008; Kaab SB, 2020, S AFR J BOT, V128, P67, DOI 10.1016/j.sajb.2019.10.018; Macias FA, 2019, PEST MANAG SCI, V75, P2413, DOI 10.1002/ps.5355; Madalosso RC, 2012, J ETHNOPHARMACOL, V139, P772, DOI 10.1016/j.jep.2011.12.014; Menalled F., 2010, AGROECOLOG A, V5, P73; Motmainna M, 2021, PLANTS-BASEL, V10, DOI 10.3390/plants10071445; Munoz C., 2015, REV CENIC CIENC QU M, V46, P38; Nawaz A, 2014, RECENT ADV WEED MANA, P39, DOI DOI 10.1007/978-1-4939-1019-9_3; Nino-Hernandez J., 2020, J HIGH ENERGY PHYS, V23; Osorio C, 2006, J AGR FOOD CHEM, V54, P509, DOI 10.1021/jf052098c; Paraiso HA, 2019, J SEED SCI, V41, P7, DOI 10.1590/2317-1545v41n1187777; Pereira CKB, 2017, ALLELOPATHY J, V42, P263, DOI 10.26651/allelo.j/2017-42-2-1122; Petrova Slaveya T., 2015, Ecologia Balkanica, V7, P121; Raphaelli CD, 2021, FOOD BIOSCI, V40, DOI 10.1016/j.fbio.2021.100899; Sardrood BP, 2018, SUSTAIN AGR REV, V31, P41, DOI 10.1007/978-3-319-94232-2_3; SEABRA JÚNIOR EDWARD, 2017, rev.colomb.cienc.hortic., V11, P435, DOI 10.17584/rcch.2017v11i2.7337; Carvalho MSS, 2019, SCI HORTIC-AMSTERDAM, V245, P90, DOI 10.1016/j.scienta.2018.10.001; VanVolkenburg H, 2020, AGRONOMY-BASEL, V10, DOI 10.3390/agronomy10040529; Vencill WK, 2012, WEED SCI, V60, P2, DOI 10.1614/WS-D-11-00206.1; Ximenez GR, 2022, MOLECULES, V27, DOI 10.3390/molecules27175356</t>
  </si>
  <si>
    <t>10.3390/horticulturae9020177</t>
  </si>
  <si>
    <t>9I1YU</t>
  </si>
  <si>
    <t>WOS:000939315100001</t>
  </si>
  <si>
    <t>Gambella, A; Bertero, L; Rondon-Lagos, M; Di Cantogno, LV; Rangel, N; Pitino, C; Ricci, AA; Mangherini, L; Castellano, I; Cassoni, P</t>
  </si>
  <si>
    <t>Gambella, Alessandro; Bertero, Luca; Rondon-Lagos, Milena; Di Cantogno, Ludovica Verdun; Rangel, Nelson; Pitino, Chiara; Ricci, Alessia Andrea; Mangherini, Luca; Castellano, Isabella; Cassoni, Paola</t>
  </si>
  <si>
    <t>FISH Diagnostic Assessment of MDM2 Amplification in Liposarcoma: Potential Pitfalls and Troubleshooting Recommendations</t>
  </si>
  <si>
    <t>INTERNATIONAL JOURNAL OF MOLECULAR SCIENCES</t>
  </si>
  <si>
    <t>MDM2 amplification; liposarcoma; FISH; MDM2 interpretation guidelines</t>
  </si>
  <si>
    <t>IN-SITU HYBRIDIZATION; WELL-DIFFERENTIATED LIPOSARCOMA; SOFT-TISSUE TUMORS; GENE AMPLIFICATION; DEDIFFERENTIATED LIPOSARCOMA; BREAST-CANCER; CLASSIFICATION; EXPRESSION; UTILITY; LEUKEMIA</t>
  </si>
  <si>
    <t>MDM2 amplification represents the leading oncogenic pathway and diagnostic hallmark of liposarcoma, whose assessment is based on Fluorescence In Situ Hybridization (FISH) analysis. Despite its diagnostic relevance, no univocal interpretation criteria regarding FISH assessments of MDM2 amplification have been established so far, leading to several different approaches and potential diagnostic misinterpretations. This study aims to address the most common issues and proposes troubleshooting guidelines for MDM2 amplification assessments by FISH. We retrospectively retrieved 51 liposarcomas, 25 Lipomas, 5 Spindle Cell Lipoma/Pleomorphic Lipomas, and 2 Atypical Spindle Cell Lipomatous Tumors and the corresponding MDM2 FISH analysis. We observed MDM2 amplification in liposarcomas cases only (43 out of 51 cases) and identified three MDM2-amplified patterns (scattered (50% of cases), clustered (14% of cases), and mixed (36% of cases)) and two nonamplified patterns (low number of signals (82% of cases) and polysomic (18% of cases)). Based on these data and published evidence in the literature, we propose a set of criteria to guide MDM2 amplification analysis in liposarcoma. Kindled by the compelling importance of MDM2 assessments to improve diagnostic and therapeutic liposarcoma management, these suggestions could represent the first step to develop a univocal interpretation model and consensus guidelines.</t>
  </si>
  <si>
    <t>[Gambella, Alessandro] Univ Pittsburgh, Div Liver &amp; Transplant Pathol, Pittsburgh, PA 15213 USA; [Gambella, Alessandro; Bertero, Luca; Pitino, Chiara; Ricci, Alessia Andrea; Mangherini, Luca; Castellano, Isabella; Cassoni, Paola] Univ Turin, Dept Med Sci, I-10124 Turin, Italy; [Rondon-Lagos, Milena] Univ Pedag &amp; Tecnol Colombia, Sch Biol Sci, Tunja 150003, Colombia; [Di Cantogno, Ludovica Verdun] Azienda Ospedaliera Citta Salute &amp; Sci Torino, Dept Lab Med, I-10126 Turin, Italy; [Rangel, Nelson] Pontificia Univ Javeriana, Fac Ciencias, Dept Nutr &amp; Bioquim, Bogota 110231, Colombia</t>
  </si>
  <si>
    <t>Pennsylvania Commonwealth System of Higher Education (PCSHE); University of Pittsburgh; University of Turin; Universidad Pedagogica y Tecnologica de Colombia (UPTC); Pontificia Universidad Javeriana</t>
  </si>
  <si>
    <t>Cassoni, P (corresponding author), Univ Turin, Dept Med Sci, I-10124 Turin, Italy.</t>
  </si>
  <si>
    <t>paola.cassoni@unito.it</t>
  </si>
  <si>
    <t>Gambella, Alessandro/AAX-4031-2020; Bertero, Luca/N-5357-2017</t>
  </si>
  <si>
    <t>Gambella, Alessandro/0000-0001-7826-002X; Bertero, Luca/0000-0001-9887-7668; Rondon Lagos, Milena/0000-0002-3160-9316; CASSONI, Paola/0000-0003-1977-7410; Ricci, Alessia Andrea/0000-0002-3989-0501; Mangherini, Luca/0000-0001-8675-525X</t>
  </si>
  <si>
    <t>Anderson WJ, 2019, GENE CHROMOSOME CANC, V58, P111, DOI 10.1002/gcc.22700; Asif Amna, 2018, Asian Pac J Cancer Prev, V19, P655; Aygun N, 2019, MOL MED REP, V19, P345, DOI 10.3892/mmr.2018.9686; Cho J, 2012, KOREAN J PATHOL, V46, P115, DOI 10.4132/KoreanJPathol.2012.46.2.115; Choi JH, 2021, ADV ANAT PATHOL, V28, P44, DOI 10.1097/PAP.0000000000000284; Clay MR, 2015, AM J SURG PATHOL, V39, P1433, DOI 10.1097/PAS.0000000000000468; Creytens D, 2015, APPL IMMUNOHISTO M M, V23, P126, DOI 10.1097/PDM.0000000000000041; Cuthbert G, 2000, LEUKEMIA, V14, P1885, DOI 10.1038/sj.leu.2401919; Dashti NK, 2019, HUM PATHOL, V87, P37, DOI 10.1016/j.humpath.2019.02.005; De Vita A, 2016, ONCOTARGETS THER, V9, P6233, DOI 10.2147/OTT.S112580; Dembla Vikas, 2018, Oncotarget, V9, P33232, DOI 10.18632/oncotarget.26075; FAKHARZADEH SS, 1993, GENOMICS, V15, P283, DOI 10.1006/geno.1993.1058; Gebhart Erich, 2005, Clin Transl Oncol, V7, P477, DOI 10.1007/BF02717000; HAHN PJ, 1993, BIOESSAYS, V15, P477, DOI 10.1002/bies.950150707; Horn H, 2014, PATHOL RES PRACT, V210, P804, DOI 10.1016/j.prp.2014.09.009; Hornick JL, 2019, MODERN PATHOL, V32, DOI 10.1038/s41379-018-0139-y; Inyang A, 2016, BREAST J, V22, P282, DOI 10.1111/tbj.12567; Ito M, 2011, CLIN CANCER RES, V17, P416, DOI 10.1158/1078-0432.CCR-10-2050; Jarboe EA, 2011, DIAGN CYTOPATHOL, V39, P575, DOI 10.1002/dc.21430; Jour G, 2015, MODERN PATHOL, V28, P37, DOI 10.1038/modpathol.2014.88; Kallen ME, 2021, AM J SURG PATHOL, V45, pE1, DOI 10.1097/PAS.0000000000001552; Kammerer-Jacquet SF, 2017, HUM PATHOL, V59, P34, DOI 10.1016/j.humpath.2016.08.009; Kashima T, 2012, MODERN PATHOL, V25, P1384, DOI 10.1038/modpathol.2012.90; Kato S, 2018, JCO PRECIS ONCOL, V2, P1, DOI 10.1200/PO.17.00235; Kimura H, 2013, INT J CLIN EXP PATHO, V6, P1306; Knebel C, 2019, BMC CANCER, V19, DOI 10.1186/s12885-019-5524-5; Kuttler F, 2007, SEMIN CANCER BIOL, V17, P56, DOI 10.1016/j.semcancer.2006.10.007; Lopez-Gines C, 2010, MODERN PATHOL, V23, P856, DOI 10.1038/modpathol.2010.62; Lyle PL, 2016, HISTOPATHOLOGY, V68, P1040, DOI 10.1111/his.12898; Machado I, 2022, PATHOL RES PRACT, V232, DOI 10.1016/j.prp.2022.153839; MACK TM, 1995, CANCER-AM CANCER SOC, V75, P211, DOI 10.1002/1097-0142(19950101)75:1+&lt;211::AID-CNCR2820751309&gt;3.0.CO;2-X; Marino-Enriquez A, 2017, AM J SURG PATHOL, V41, P234, DOI 10.1097/PAS.0000000000000770; Marino-Enriquez A, 2014, CANCER CYTOPATHOL, V122, P128, DOI 10.1002/cncy.21362; Marino-Enriquez A, 2010, AM J SURG PATHOL, V34, P1122, DOI 10.1097/PAS.0b013e3181e5dc49; Michal M, 2018, AM J SURG PATHOL, V42, P1530, DOI 10.1097/PAS.0000000000001129; Momand J, 1998, NUCLEIC ACIDS RES, V26, P3453, DOI 10.1093/nar/26.15.3453; Nascimento AG, 2001, SEMIN DIAGN PATHOL, V18, P263, DOI 10.1053/sdia.2001.27842; Nuciforo P, 2016, MOL ONCOL, V10, P138, DOI 10.1016/j.molonc.2015.09.002; Paulsson K, 2003, LEUKEMIA, V17, P813, DOI 10.1038/sj.leu.2402841; Pei JM, 2021, APPL IMMUNOHISTO M M, V29, P592, DOI 10.1097/PAI.0000000000000923; Pilotti S, 2000, BRIT J CANCER, V82, P1271; Rekhi B, 2022, INDIAN J PATHOL MICR, V65, P65, DOI 10.4103/IJPM.IJPM_1238_20; Rondon-Lagos M, 2014, BMC CANCER, V14, DOI 10.1186/1471-2407-14-922; Ryan Sean, 2018, Sarcoma, V2018, P1901896, DOI 10.1155/2018/1901896; Sarwar Saud, 2021, J Ayub Med Coll Abbottabad, V33, P563; Sbaraglia M, 2021, PATHOLOGICA, V113, P70, DOI 10.32074/1591-951X-213; Sciot R, 2021, DIAGNOSTICS, V11, DOI 10.3390/diagnostics11030496; Setsu N, 2016, AM J SURG PATHOL, V40, P1286, DOI 10.1097/PAS.0000000000000657; Shi Dingding, 2012, Genes Cancer, V3, P240, DOI 10.1177/1947601912455199; Shimada S, 2006, HUM PATHOL, V37, P1123, DOI 10.1016/j.humpath.2006.04.010; Sirvent N, 2007, AM J SURG PATHOL, V31, P1476, DOI 10.1097/PAS.0b013e3180581fff; STARCZYNSKI J, 2012, AM J CLIN PATHOL, V137, P595, DOI DOI 10.1309/AJCPATBZ2JFN1QQC; Stojanov IJ, 2019, HEAD NECK PATHOL, V13, P169, DOI 10.1007/s12105-018-0928-0; Sugiyama K, 2022, DIAGN CYTOPATHOL, V50, P112, DOI 10.1002/dc.24928; Thway Khin, 2015, Sarcoma, V2015, P812089, DOI 10.1155/2015/812089; Traweek RS, 2022, FRONT ONCOL, V12, DOI 10.3389/fonc.2022.1006959; Urso L, 2016, CRIT REV ONCOL HEMAT, V97, P220, DOI 10.1016/j.critrevonc.2015.08.019; Vargas AC, 2022, HISTOPATHOLOGY, V80, P369, DOI 10.1111/his.14558; Vargas AC, 2019, ASIA-PAC J CLIN ONCO, V15, P38, DOI 10.1111/ajco.12980; Vicario R, 2015, PLOS ONE, V10, DOI 10.1371/journal.pone.0129876; Wade M, 2013, NAT REV CANCER, V13, P83, DOI 10.1038/nrc3430; WAHL GM, 1989, CANCER RES, V49, P1333; Ware PL, 2014, AM J CLIN PATHOL, V141, P334, DOI 10.1309/AJCPLYU89XHSNHQO; Weaver J, 2008, MODERN PATHOL, V21, P943, DOI 10.1038/modpathol.2008.84; Weaver J, 2010, MODERN PATHOL, V23, P1301, DOI 10.1038/modpathol.2010.106; Weaver J, 2009, MODERN PATHOL, V22, P66, DOI 10.1038/modpathol.2008.153; Wolff AC, 2007, ARCH PATHOL LAB MED, V131, P18, DOI 10.1043/1543-2165(2007)131[18:ASOCCO]2.0.CO;2; Wong DD, 2016, PATHOLOGY, V48, P203, DOI 10.1016/j.pathol.2016.02.007; Yamashita Kyoko, 2017, Hum Pathol, V63, P63, DOI 10.1016/j.humpath.2017.02.007; Zhang G, 2016, ARCH PATHOL LAB MED, V140, P1111, DOI 10.5858/arpa.2015-0249-OA</t>
  </si>
  <si>
    <t>1422-0067</t>
  </si>
  <si>
    <t>INT J MOL SCI</t>
  </si>
  <si>
    <t>Int. J. Mol. Sci.</t>
  </si>
  <si>
    <t>10.3390/ijms24021342</t>
  </si>
  <si>
    <t>7Y9DW</t>
  </si>
  <si>
    <t>WOS:000915171300001</t>
  </si>
  <si>
    <t>Gasca-Alvarez, HJ; Costa-Neto, EM</t>
  </si>
  <si>
    <t>Gasca-Alvarez, H. J.; Costa-Neto, E. M.</t>
  </si>
  <si>
    <t>Insects as a food source for indigenous communities in Colombia: a review and research perspectives</t>
  </si>
  <si>
    <t>JOURNAL OF INSECTS AS FOOD AND FEED</t>
  </si>
  <si>
    <t>ethnoentomology; entomophagy; ethnic groups; indigenous people; traditional knowledge</t>
  </si>
  <si>
    <t>EDIBLE INSECTS; ANTHROPO-ENTOMOPHAGY; NUTRITIONAL-VALUE</t>
  </si>
  <si>
    <t>Insects have been used worldwide as a source of food, and edible species are eaten both as immature (eggs, larvae, pupae, and nymphs) and in some cases as adults. In this regard, several scholars and researchers seek to promote an alternative entomological trend and highlight the potential of insects as a high-quality nutritional option. The consumption of various edible species contributes to the nutritional health of indigenous, rural peoples, as well as those individuals who live in urban areas and use this kind of food resource, in accordance with insects' seasonal abundance. Colombia, due to its sociocultural origin, stands out as one of the Latin American countries that have the habit of consuming insects by presenting both biological and ethnic diversity. However, the use and diversity of edible insects in the country have been little studied. This review summarises the current status related to the knowledge of insects as food resources, with emphasis on ethnic groups established in the country. In Colombia, 69 edible insect species are currently reported, distributed in 49 genera, 27 families and 10 orders, and ingested by approximately 13 ethnic groups belonging principally to the Amazon and Caribbean regions. Guidelines and protocols are provided to establish research priorities in the study and use of edible insects in Colombia. In this way, the proposal of a general framework for the study and conservation of edible insect species, integrating a bioecological, socio-economic and institutional approach, will provide new perspectives for food security in this era of world food scarcity, and can play an interdisciplinary role (forestry, traditional medicine, agriculture, livestock) in mitigating the current global food crisis.</t>
  </si>
  <si>
    <t>[Gasca-Alvarez, H. J.] Inst Amazonico Invest Cient SINCHI, Sede Enlace, Calle 20 5-44, Bogota, Colombia; [Gasca-Alvarez, H. J.] Univ Pedag &amp; Tecnol Colombia, Programa Biol, Sede Cent Tunja, Ave Cent Norte 39-115, Boyaca, Colombia; [Gasca-Alvarez, H. J.] Corp Sentido Nat, Programa Invest, Bogota, Colombia; [Costa-Neto, E. M.] Feira de Santana State Univ, Dept Biol, Lab Ethnobiol, Av Transnordestina,S-N Novo Horizonte, BR-44036900 Feira De Santana, BA, Brazil</t>
  </si>
  <si>
    <t>Gasca-Alvarez, HJ (corresponding author), Inst Amazonico Invest Cient SINCHI, Sede Enlace, Calle 20 5-44, Bogota, Colombia.;Gasca-Alvarez, HJ (corresponding author), Univ Pedag &amp; Tecnol Colombia, Programa Biol, Sede Cent Tunja, Ave Cent Norte 39-115, Boyaca, Colombia.;Gasca-Alvarez, HJ (corresponding author), Corp Sentido Nat, Programa Invest, Bogota, Colombia.</t>
  </si>
  <si>
    <t>scarab7@gmail.com</t>
  </si>
  <si>
    <t>Medeiros Costa Neto, Eraldo/H-7334-2012</t>
  </si>
  <si>
    <t>Medeiros Costa Neto, Eraldo/0000-0003-0278-1974</t>
  </si>
  <si>
    <t>Postdoctoral Internship Program of the Ministry of Science, Technology and Innovation - MINCIENCIAS [848]</t>
  </si>
  <si>
    <t>Postdoctoral Internship Program of the Ministry of Science, Technology and Innovation - MINCIENCIAS</t>
  </si>
  <si>
    <t>We thank Jose Manuel Pino Moreno (Instituto de Biologia, Universidad Nacional Autonoma de Mexico) and Fernando Fernandez (Instituto de Ciencias Naturales, Universidad Nacional de Colombia) for providing important literature, and Professor Emeritus Howard Frank (Entomology and Nematology Department, University of Florida) for reviewing the English of the manuscript. This research is part of the project 'Diversity of insects as a food source for the indigenous communities of the Amazonian East', developed by Instituto Amazonico de Investigaciones Cientificas SINCHI, and supported by the Postdoctoral Internship Program of the Ministry of Science, Technology and Innovation -MINCIENCIAS (Number 848 of 2019). We also thank three anonymous reviewers for their comments and suggestions that helped us to improve the manuscript.</t>
  </si>
  <si>
    <t>Amat-Garcia G., 2005, GUIA CRIA ESCARABAJO; Arango Gutiérrez Gloria Patricia, 2004, Rev. Fac. Nac. Agron. Medellín, V57, P2491; Arango N., 2002, GUIA METODOLOGICA EN; Arango-Gutierrez GP, 2011, ANTROPOENTOMOFAGIA I, P171; Banjo AD, 2006, AFR J BIOTECHNOL, V5, P298; Becerra M.T., 2003, LINEAMIENTOS MANEJO; Beltran JS., 2019, THESIS U AUTONOMA BU; Bermudez-Serrano IM, 2020, J INSECTS FOOD FEED, V6, P537, DOI 10.3920/JIFF2020.0009; Bernard T., 2017, INSECT PHYSL ECOLOGY, P233; Blake E.A., 1987, B ENTOMOL SOC AM, V33, P23; Bukkens SGF, 1997, ECOL FOOD NUTR, V36, P287, DOI 10.1080/03670244.1997.9991521; Cabrera G, 1999, S MEL TERC ENC IUSSI; Castro E., 2000, ETNOCONSERVACAO NOVO, P165; Cerda H., 1999, ECOTROPICOS, V12, P25; Chen XiaoMing, 2010, Forest insects as food: humans bite back. Proceedings of a workshop on Asia-Pacific resources and their potential for development, Chiang Mai, Thailand, 19-21 February, 2008, P85; Costa-Neto EM, 2015, J INSECTS FOOD FEED, V1, P17, DOI 10.3920/JIFF2014.0015; Costa-Neto E.M., 2002, THESIS SOC ENTOMOLOG; Costa-Neto EM, 2003, INTERCIENCIA, V28, P136; Costa-Neto EM, 2012, B SOC ENTOMOLOGICA A, V51, P367; Cristancho-Sanchez S.V., 2011, ETNOZOOLOGIA ENFOQUE, P131; DANIELS RJR, 1995, CURR SCI INDIA, V69, P569; Das K., 2020, AFRICAN EDIBLE INSEC, P53, DOI DOI 10.1007/978-3-030-32952-5_1; DeFoliart GR, 2002, HUMAN USE INSECTS FO; Departamento Nacional de Estadistica (DANE),, 2019, INF GRUP ETN CENS 20; Dossey A.T., 2016, INSECTS SUSTAINABLE; DUFOUR DL, 1987, AM ANTHROPOL, V89, P383, DOI 10.1525/aa.1987.89.2.02a00070; Fairhead J., 1999, CULTURAL SPIRITUAL V, P235; Falchetti A.M., 1997, B MUSEO ORO, V43, P3; Gahukar R. T., 2011, International Journal of Tropical Insect Science, V31, P129, DOI 10.1017/S1742758411000257; Gasca A. Hector Jaime, 2005, Boletin de la SEA, V36, P309; Gomez Benigno, 2000, Journal of Ethnobiology, V20, P43; Gomez R., 2003, SEG REUN ENT 2003, V2003; GRANADOS C CLEMENTE, 2013, Rev.Bio.Agro, V11, P68; Guine RPF, 2021, OPEN AGRIC, V6, P24, DOI 10.1515/opag-2020-0206; Guzman-Mendoza R., 2016, ACTA ZOOLOGICA MEDIC, V32, P370, DOI 10.21829/azm.2016.323971; Halloran A., 2018, EDIBLE INSECTS SUSTA; Jara F., 1996, J SOC AMERICANISTES, V82, P209, DOI 10.3406/jsa.1996.1637; Johnson D. V., 2010, Forest insects as food: humans bite back. Proceedings of a workshop on Asia-Pacific resources and their potential for development, Chiang Mai, Thailand, 19-21 February, 2008, P5; Jongema Y., 2017, LIST EDIBLE INSECTS; Kim TK, 2019, FOOD SCI ANIM RESOUR, V39, P521; Mahecha-Rubio D, 1998, MAGUARE, V13, P199; Mitsuhashi J., 2016, Edible insects of the world; Molina J, 2015, HIPOTESIS, V18, P31; Mozhui Lobeno, 2017, Journal of Human Ecology, V60, P42, DOI 10.1080/09709274.2017.1399632; Osorno M, 2014, DESPENSA TIQUIE DIAG; Pal P, 2014, INT LETT NAT SCI, V26, P1, DOI 10.18052/www.scipress.com/ILNS.26.1; Pardo-De-Santayana M, 2015, NATURE, V518, P487, DOI 10.1038/518487a; Moreno JMP, 2016, J INSECTS FOOD FEED, V2, P37, DOI 10.3920/JIFF2015.0078; Ponce-Reyes R., 2021, EDIBLE INSECTS ROADM; Ramirez-Gutierrez N.F., 2009, THESIS PONTIFICIA U; Ramos-Elorduy Julieta, 2005, P263; Ramos-Elorduy Julieta, 2009, Entomological Research, V39, P271, DOI 10.1111/j.1748-5967.2009.00238.x; RAMOSELORDUY J., 1996, CONQUISTA COMIDA CON, P89; Reyes-Mora A., 2011, ANTROPOENTOMOFAGIA I, P201; Reyes-Prado H, 2020, J INSECTS FOOD FEED, V6, P499, DOI 10.3920/JIFF2020.0013; Rivas-Abadia X., 2010, ARCH LATINOAM NUTR, V60, P211; RUDDLE K, 1973, Biotropica, V5, P94, DOI 10.2307/2989658; Schardong IS, 2019, CIENC RURAL, V49, DOI 10.1590/0103-8478cr20180960; Scudder Geoffrey G.E., 2009, P7, DOI 10.1002/9781444308211.ch2; Selaledi L, 2021, INSECTS, V12, DOI 10.3390/insects12050432; Seni A., 2017, INT J CURR MICROBIOL, V6, P1302, DOI DOI 10.20546/IJCMAS.2017.608.158; Sogari G., 2019, EDIBLE INSECTS FOOD, P3; Somnasang Prapimporn, 1998, Food and Nutrition Bulletin, V19, P359; Tobolkova B., 2019, NOVEL TECHNIQUES NUT, V4, P326, DOI 10.31031/NTNF.2019.04.000584; Valderrama R., 1998, MEMORIAS 25 CONGRESO; Valderrama R., 1999, MEMORIAS 26 CONGRESO; van Huis A., 2013, 171 FAO; WILSON E O, 1992; Yen AL, 2015, J INSECTS FOOD FEED, V1, P33, DOI 10.3920/JIFF2014.0017; Yen A. L., 2010, Forest insects as food: humans bite back. Proceedings of a workshop on Asia-Pacific resources and their potential for development, Chiang Mai, Thailand, 19-21 February, 2008, P65</t>
  </si>
  <si>
    <t>WAGENINGEN ACADEMIC PUBLISHERS</t>
  </si>
  <si>
    <t>WAGENINGEN</t>
  </si>
  <si>
    <t>PO BOX 220, WAGENINGEN, 6700 AE, NETHERLANDS</t>
  </si>
  <si>
    <t>2352-4588</t>
  </si>
  <si>
    <t>J INSECTS FOOD FEED</t>
  </si>
  <si>
    <t>J. Insects Food Feed</t>
  </si>
  <si>
    <t>10.3920/JIFF2021.0148</t>
  </si>
  <si>
    <t>Agriculture, Multidisciplinary; Entomology; Food Science &amp; Technology</t>
  </si>
  <si>
    <t>Agriculture; Entomology; Food Science &amp; Technology</t>
  </si>
  <si>
    <t>2W3SC</t>
  </si>
  <si>
    <t>WOS:000824446700001</t>
  </si>
  <si>
    <t>Mercado-Gomez, JD; Morales-Puentes, ME; Gonzalez, MA; Velasco, JA</t>
  </si>
  <si>
    <t>Mercado-Gomez, Jorge D.; Morales-Puentes, Maria E.; Gonzalez, Mailyn A.; Velasco, Julian A.</t>
  </si>
  <si>
    <t>Seasonal droughts during the Miocene drove the evolution of Capparaceae towards Neotropical seasonally dry forests</t>
  </si>
  <si>
    <t>climate; comparative methods; Miocene; niche; phylogeny</t>
  </si>
  <si>
    <t>PHYLOGENETIC NICHE CONSERVATISM; ADAPTIVE RADIATION; TROPICAL FORESTS; PLANT DIVERSITY; DIVERSIFICATION; PATTERNS; ORIGIN; INFORMATION; REVISION; MODELS</t>
  </si>
  <si>
    <t>Introduction: Neotropical seasonally dry forest (NSDF) climatic constraints increased endemism, and phylogenetic niche conservatism in species that are restricted to this biome. NSDF have a large number of endemic Capparaceae taxa, but it is unknown if phylogenetic niche conservatism has played a role in this pattern. Objective: We carried out an evolutionary analysis of the climatic niche of neotropical species of Capparaceae to identify whether the climatic constraints of NSDF have played a major role throughout the family's evolutionary history. Methods: Using three chloroplastic (ndhF, matK, rbcL) and one ribosomal (rsp3) DNA sequences, we proposed a date phylogeny to reconstruct the evolutionary climatic niche dynamics of 24 Neotropical species of Capparaceae. We tested the relationship between niche dissimilarity and phylogenetic distance between species using the Mantel test. Likewise, we used a set of phylogenetic comparative methods (PGLS) on the phylogeny of Capparaceae to reconstruct the main evolutionary historic events in their niche. Results: Capparaceae originated in humid regions and subsequently, convergent evolution occurred towards humid and dry forest during the acidification phases of the Middle Miocene (16-11 Mya). However, adaptation towards drought stress was reflected only during the precipitation of the coldest quarter, where we found phylogenetic signal (Pagel k) for gradual evolution and, therefore, evidence of phylogenetic niche conservatism. We found convergent species-specific adaptations to both drought stress and rainfall during the Miocene, suggesting a non-phylogenetic structure in most climatic variables. Conclusions: Our study shows how the Miocene climate may have influenced the Capparaceae speciation toward driest environments. Further, highlights the complexity of climatic niche dynamics in this family, and therefore more detailed analyses are necessary in order to better understand the NSDF climatic constrictions affected the evolution of Capparaceae.</t>
  </si>
  <si>
    <t>[Mercado-Gomez, Jorge D.] Univ Sucre, Dept Biol &amp; Quim, Grp Evoluc &amp; Sistemat Trop, Sincelejo, Colombia; [Morales-Puentes, Maria E.] Univ Pedag &amp; Tecnol Colombia, Herbario UPTC, Grp Sistemat Biol, Tunja, Boyaca, Colombia; [Gonzalez, Mailyn A.] Inst Invest Recursos Biol Alexander von Humboldt, Lab Genet Conservac, Bogota, Colombia; [Velasco, Julian A.] Univ Nacl Autonoma Mexico, Inst Ciencias Atmosfera &amp; Cambio Climat, Ciudad De Mexico, Mexico</t>
  </si>
  <si>
    <t>Universidad Pedagogica y Tecnologica de Colombia (UPTC); Alliance; International Center for Tropical Agriculture - CIAT; Universidad Nacional Autonoma de Mexico</t>
  </si>
  <si>
    <t>Mercado-Gomez, JD (corresponding author), Univ Sucre, Dept Biol &amp; Quim, Grp Evoluc &amp; Sistemat Trop, Sincelejo, Colombia.</t>
  </si>
  <si>
    <t>jorge.mercado@unisucre.edu.co; maria.morales@uptc.edu; magonzalez@humboldt.org.co; javelasco@atmosfera.unam.mx</t>
  </si>
  <si>
    <t>Velasco, Julian A./AAG-1791-2019</t>
  </si>
  <si>
    <t>Velasco, Julian A./0000-0002-2183-5758; Morales Puentes, Maria Eugenia/0000-0002-5332-9956; Gonzalez, Mailyn/0000-0001-9150-5730; Mercado Gomez, Jorge David/0000-0002-4619-0028</t>
  </si>
  <si>
    <t>COLCIENCIAS [647]; Universidad de Sucre</t>
  </si>
  <si>
    <t>COLCIENCIAS(Departamento Administrativo de Ciencia, Tecnologia e Innovacion Colciencias); Universidad de Sucre</t>
  </si>
  <si>
    <t>The first author acknowledges the doctoral scholarships 647 of COLCIENCIAS and Universidad de Sucre for the financial support of his doctoral studies. In addition, we thank Thomas Defler and Richard Abbott for its commentaries to the manuscript and English revision.</t>
  </si>
  <si>
    <t>Angulo DF, 2012, EVOL ECOL, V26, P991, DOI 10.1007/s10682-011-9528-0; Arango A, 2021, J BIOGEOGR, V48, P176, DOI 10.1111/jbi.13991; De-Nova JA, 2012, NEW PHYTOL, V193, P276, DOI 10.1111/j.1469-8137.2011.03909.x; Banda-R K, 2016, SCIENCE, V353, P1383, DOI 10.1126/science.aaf5080; Beilstein MA, 2010, P NATL ACAD SCI USA, V107, P18724, DOI 10.1073/pnas.0909766107; Berry E. W., 1917, P US NATL MUS, V54, P103, DOI DOI 10.5479/SI.00963801.54-2229.103; Bouckaert R, 2014, PLOS COMPUT BIOL, V10, DOI 10.1371/journal.pcbi.1003537; Bougeard S, 2018, J STAT SOFTW, V86, P1, DOI 10.18637/jss.v086.i01; Broennimann O, 2012, GLOBAL ECOL BIOGEOGR, V21, P481, DOI 10.1111/j.1466-8238.2011.00698.x; Cardinal-McTeague WM, 2016, MOL PHYLOGENET EVOL, V99, P204, DOI 10.1016/j.ympev.2016.02.021; CHURCHILL S. P., 1995, BIBL JOSE JERONIMO T; Cooper N, 2010, J EVOLUTION BIOL, V23, P2529, DOI 10.1111/j.1420-9101.2010.02144.x; Cornejo X, 2012, FLORA JALISTO AREAS, P1; Cornejo X., 2016, CAPPARACEAE LIST ESP; Cornejo Xavier, 2008, Harvard Papers in Botany, V13, P121, DOI 10.3100/1043-4534(2008)13[121:AROTAS]2.0.CO;2; Cornejo Xavier, 2008, Harvard Papers in Botany, V13, P229, DOI 10.3100/1043-4534-13.2.229; Cornejo Xavier, 2010, Rodriguésia, V61, P153, DOI 10.1590/2175-7860201061121; Cornejo Xavier, 2010, Journal of the Botanical Research Institute of Texas, V4, P75; Cornejo Xavier, 2009, Journal of the Botanical Research Institute of Texas, V3, P683; Cornejo Xavier, 2009, Harvard Papers in Botany, V14, P9, DOI 10.3100/025.014.0103; Cornejo Xavier, 2008, Journal of the Botanical Research Institute of Texas, V2, P75; Crisp MD, 2012, NEW PHYTOL, V196, P681, DOI 10.1111/j.1469-8137.2012.04298.x; Darriba D, 2012, NAT METHODS, V9, P772, DOI 10.1038/nmeth.2109; Di Cola V, 2017, ECOGRAPHY, V40, P774, DOI 10.1111/ecog.02671; Diaz-Pulido G, 2003, BIOTA COLOMBIANA, V4, P203; Donoghue M.J., 2008, LIGHT EVOLUTION VOLU, VII, P247; Dormann CF, 2013, ECOGRAPHY, V36, P27, DOI 10.1111/j.1600-0587.2012.07348.x; Edgar RC, 2004, NUCLEIC ACIDS RES, V32, P1792, DOI 10.1093/nar/gkh340; Engelbrecht BMJ, 2003, OECOLOGIA, V136, P383, DOI 10.1007/s00442-003-1290-8; Fourment M, 2006, BMC EVOL BIOL, V6, DOI 10.1186/1471-2148-6-1; FRESHWATER DW, 1994, P NATL ACAD SCI USA, V91, P7281, DOI 10.1073/pnas.91.15.7281; Gandolfo MA, 1998, AM J BOT, V85, P964, DOI 10.2307/2446363; Gentry Alwyn H., 1995, P146, DOI 10.1017/CBO9780511753398.007; Harmon LJ, 2008, BIOINFORMATICS, V24, P129, DOI 10.1093/bioinformatics/btm538; Herazo Vitola Fran, 2017, Ciencia en Desarrollo, V8, P71; Hernandez CE, 2013, METHODS ECOL EVOL, V4, P401, DOI 10.1111/2041-210X.12033; Hernandez-Hernandez T, 2014, NEW PHYTOL, V202, P1382, DOI 10.1111/nph.12752; Hernandez-Hernandez T, 2013, ORG DIVERS EVOL, V13, P485, DOI 10.1007/s13127-013-0136-4; Hijmans RJ, 2005, INT J CLIMATOL, V25, P1965, DOI 10.1002/joc.1276; Holmgren P. K., 1990, INDEX HERBARIORUM 1, V120, P1; Ingram T, 2013, METHODS ECOL EVOL, V4, P416, DOI 10.1111/2041-210X.12034; Kers LE, 2003, FA GE VAS P, V5, P36; Lavin M, 2006, SYST ASSOC SPEC VOL, P433; Lewis LA, 2004, AM J BOT, V91, P1535, DOI 10.3732/ajb.91.10.1535; Lorea-Hernandez FG, 2004, FLORA BAJIO REGIONES, P266; Gomez JDM, 2020, BOT J LINN SOC, V193, P263, DOI 10.1093/botlinnean/boz092; Gomez JDM, 2019, BIOL J LINN SOC, V126, P507, DOI 10.1093/biolinnean/bly186; Mercado-Gomez J., 2019, RODRIGUESIA, V70, P1; Mercado-Gomez JD, 2020, PHYTOTAXA, V439, P276, DOI 10.11646/phytotaxa.439.3.9; Mercado-Gomez JD, 2020, AUST SYST BOT, V33, P129, DOI 10.1071/SB18058; Michel P, 2013, NEW ZEAL J ECOL, V37, P114; Moore W, 2014, CURR BIOL, V24, P2435, DOI 10.1016/j.cub.2014.09.022; Morrone JJ, 2014, ZOOTAXA, V 3782, P1, DOI 10.11646/zootaxa.3782.1.1; Munkemuller T, 2015, FUNCT ECOL, V29, P627, DOI 10.1111/1365-2435.12388; MURPHY PG, 1986, ANNU REV ECOL SYST, V17, P67, DOI 10.1146/annurev.es.17.110186.000435; Newman M., 2007, FLORA VALLE TEHUACAN; Olson DM, 2001, BIOSCIENCE, V51, P933, DOI 10.1641/0006-3568(2001)051[0933:TEOTWA]2.0.CO;2; Pagel Mark, 2002, VVolume 64, P269; Paun O, 2016, SYST BIOL, V65, P212, DOI 10.1093/sysbio/syv076; Pennington RT, 2009, ANNU REV ECOL EVOL S, V40, P437, DOI 10.1146/annurev.ecolsys.110308.120327; Pennington RT, 2004, PHILOS T R SOC B, V359, P515, DOI 10.1098/rstb.2003.1435; Prieto-Torres DA, 2016, PLOS ONE, V11, DOI 10.1371/journal.pone.0150932; Rambaut A, 2018, SYST BIOL, V67, P901, DOI 10.1093/sysbio/syy032; Revell LJ, 2012, METHODS ECOL EVOL, V3, P217, DOI 10.1111/j.2041-210X.2011.00169.x; Ruiz Zapata T., 2005, Ernstia, V15, P27; Ruiz-Zapata Thirza, 2006, Ernstia, V16, P113; Sarkinen T, 2012, J BIOGEOGR, V39, P884, DOI 10.1111/j.1365-2699.2011.02644.x; Sexton JP, 2017, ANNU REV ECOL EVOL S, V48, P183, DOI 10.1146/annurev-ecolsys-110316-023003; Soberon Jorge, 2005, Biodiversity Informatics, V2, P1; Stroud JT, 2016, ANNU REV ECOL EVOL S, V47, P507, DOI 10.1146/annurev-ecolsys-121415-032254; Tan JQ, 2016, P ROY SOC B-BIOL SCI, V283, DOI 10.1098/rspb.2016.0241; Thiers B., 2020, INDEX HERBARIORUM GL; Warren DL, 2008, EVOLUTION, V62, P2868, DOI 10.1111/j.1558-5646.2008.00482.x; Willis CG, 2014, FRONT GENET, V5, DOI 10.3389/fgene.2014.00433</t>
  </si>
  <si>
    <t>10.15517/rev.biol.trop..v70i1.47504</t>
  </si>
  <si>
    <t>2P7RL</t>
  </si>
  <si>
    <t>WOS:000819933100001</t>
  </si>
  <si>
    <t>Garcia-Molano, JF; Cuervo-Bejarano, WJ; Rodolfi, M; Jaramillo-Garcia, LS; Ganino, T</t>
  </si>
  <si>
    <t>Francisco Garcia-Molano, Jose; Javier Cuervo-Bejarano, William; Rodolfi, Margherita; Stella Jaramillo-Garcia, Luz; Ganino, Tommaso</t>
  </si>
  <si>
    <t>Can Olive Pruning Forms Influence the Olive Rhizosphere? The Root Microbiota and the Rhizosphere Properties in the Alto Ricaurte (Colombia)</t>
  </si>
  <si>
    <t>Olea europaea L.; symbiosis; physical soil properties; chemical soil properties; nitrogen-fixing; enzymatic activity</t>
  </si>
  <si>
    <t>ARBUSCULAR MYCORRHIZAL FUNGI; SOIL ORGANIC-MATTER; PHOSPHORUS; RESPONSES; GROWTH; YIELD; TREES; SIZE</t>
  </si>
  <si>
    <t>(1) Background: Olive in Colombia is not a traditional crop, but in the Andean Region, ancient olive trees are widespread. The area is characterized by a climate condition with a high intensity of UV rays and meteoric events that negatively affect the olive grown. In this work, changes in the soil of olive trees subjected to different pruning will be established. (2) Methods: Olive trees of 2-years-old were cultivated in Boyaca (Colombia). Trees were pruned into a vase shape, globe shape, and natural shape. Physical, chemical, and biological soil analyses were carried out. (3) Results: In the olive tree, V and G pruning significantly increase the P content in the soil compared to NS, and these pruning forms reduce the OOC significantly in the rhizosphere soil by 87.5% and 78.3%, respectively. In all conditions, the roots established an association with Arbuscular Mycorhizal Fungi and stimulated the presence of other microorganisms, despite the trees being more vegetative than productive in this latitude. (4) Conclusions: The results of the study indicate that, in Colombian conditions, the pruning does not affect the rhizospheric soil conditions.</t>
  </si>
  <si>
    <t>[Francisco Garcia-Molano, Jose] Fdn Univ Juan de Castellanos, Programa Ingn Agr, Grp Invest Agr Organizac &amp; Frutos AO&amp;F, Tunja 150001, Colombia; [Javier Cuervo-Bejarano, William] Corp Univ Minuto Dios UNIMINUTO, Programa Ingn Agroecol, Grp Invest Agroecol &amp; Seguridad Alimentaria, Zipaquira 250252, Colombia; [Rodolfi, Margherita; Ganino, Tommaso] Univ Parma, Dept Food &amp; Drug, Parco Area Sci 27-A, I-43124 Parma, Italy; [Stella Jaramillo-Garcia, Luz] Univ Pedag &amp; Tecnol Colombia, Fac Ciencias Basicas Escuela Biol, Grp Invest Agr Organizac &amp; Frutos AO&amp;F, Tunja 150003, Colombia; [Ganino, Tommaso] CNR, Inst BioEcon IBE, Via Madonna Piano 10, I-50019 Sesto Fiorentino, Italy</t>
  </si>
  <si>
    <t>Corporacion Universitaria Minuto de Dios (UNIMINUTO); University of Parma; Universidad Pedagogica y Tecnologica de Colombia (UPTC); Consiglio Nazionale delle Ricerche (CNR); Istituto per la BioEconomia (IBE-CNR)</t>
  </si>
  <si>
    <t>Garcia-Molano, JF (corresponding author), Fdn Univ Juan de Castellanos, Programa Ingn Agr, Grp Invest Agr Organizac &amp; Frutos AO&amp;F, Tunja 150001, Colombia.;Rodolfi, M (corresponding author), Univ Parma, Dept Food &amp; Drug, Parco Area Sci 27-A, I-43124 Parma, Italy.</t>
  </si>
  <si>
    <t>jgarcia@jdc.edu.co; wcuervo@uniminuto.edu; margherita.rodolfi@unipr.it; luzstellajaramillog@gmail.com; tommaso.ganino@unipr.it</t>
  </si>
  <si>
    <t>rodolfi, margherita/AAN-2084-2021</t>
  </si>
  <si>
    <t>rodolfi, margherita/0000-0002-3791-4952; Cuervo-Bejarano, William Javier/0000-0003-4097-8890; GANINO, Tommaso/0000-0001-5590-2747</t>
  </si>
  <si>
    <t>company Frutalia de Colombia(TM)</t>
  </si>
  <si>
    <t>We gratefully thank the company Frutalia de Colombia (TM), and the owner of the Huerto Olivanto orchard for their support to carry out this research.</t>
  </si>
  <si>
    <t>Aasfar A, 2021, FRONT MICROBIOL, V12, DOI 10.3389/fmicb.2021.628379; Abu-Elsaoud AM, 2017, PLOS ONE, V12, DOI 10.1371/journal.pone.0188220; Alcaras LMA, 2016, AGR WATER MANAGE, V171, P10, DOI 10.1016/j.agwat.2016.03.006; Albarracin V, 2017, SCI HORTIC-AMSTERDAM, V225, P185, DOI 10.1016/j.scienta.2017.07.005; Aleixo S, 2020, SCI TOTAL ENVIRON, V712, DOI 10.1016/j.scitotenv.2019.136405; Ameloot N, 2015, GCB BIOENERGY, V7, P135, DOI 10.1111/gcbb.12119; Aneed N., 2021, K18 ANN ROM SOC CELL, V25, P10067; Assirelli A, 2021, SUSTAINABILITY-BASEL, V13, DOI 10.3390/su13158266; Beghe D, 2015, SCI HORTIC-AMSTERDAM, V189, P122, DOI 10.1016/j.scienta.2015.04.003; Begum N, 2019, FRONT PLANT SCI, V10, DOI 10.3389/fpls.2019.01068; Bello Álvarez Óscar Fernando, 2016, Acta Agron., V65, P109, DOI 10.15446/acag.v65n2.44270; Boutaj H, 2021, J PLANT DIS PROTECT, V128, P225, DOI 10.1007/s41348-020-00365-3; Boutaj H, 2020, J PLANT DIS PROTECT, V127, P349, DOI 10.1007/s41348-020-00323-z; BOUYOUCOS GJ, 1962, AGRON J, V54, P464, DOI 10.2134/agronj1962.00021962005400050028x; Bucking H, 2015, AGRONOMY-BASEL, V5, P587, DOI 10.3390/agronomy5040587; Caulfield ME, 2020, LAND DEGRAD DEV, V31, P2973, DOI 10.1002/ldr.3635; Chatzistathis T, 2020, SCI HORTIC-AMSTERDAM, V265, DOI 10.1016/j.scienta.2020.109251; Christopoulou N, 2021, AGRICULTURE-BASEL, V11, DOI 10.3390/agriculture11020111; Cisse G, 2021, EUR J SOIL BIOL, V107, DOI 10.1016/j.ejsobi.2021.103363; Contreras R.L.G., 2020, ASIAN J AGR HORTIC R, V6, P46, DOI [10.9734/ajahr/2020/v6i330076, DOI 10.9734/AJAHR/2020/V6I330076]; Cribari-Neto F, 2010, J STAT SOFTW, V34, P1; Cruz-Paredes C, 2021, SOIL BIOL BIOCHEM, V159, DOI 10.1016/j.soilbio.2021.108305; Dabbaghi O., 2018, African Journal of Agricultural Research, V13, P1777, DOI 10.5897/ajar2018.13339; Dara SK, 2019, INSECTS, V10, DOI 10.3390/insects10090277; Dastkar E, 2020, SCI REP-UK, V10, DOI 10.1038/s41598-020-72895-7; De Souza-Torres A, 2021, RHIZOSPHERE-NETH, V17, DOI 10.1016/j.rhisph.2020.100275; Della Monica IF, 2020, MICROB ECOL, V79, P21, DOI 10.1007/s00248-019-01396-6; do Nascimento CAC, 2018, SOIL SCI SOC AM J, V82, P622, DOI 10.2136/sssaj2017.06.0211; Dobereiner J., 1976, Proceedings of the 1st International Symposium on Nitrogen Fixation [Newton, W.E.; Nyman, C.J. Editors]., P518; El-Tanany M. M., 2016, EGYPTIAN JOURNAL OF HORTICULTURE, V43, P389; Erel R, 2018, ACTA HORTIC, V1217, P207, DOI 10.17660/ActaHortic.2018.1217.27; Erel R, 2016, PLOS ONE, V11, DOI 10.1371/journal.pone.0167591; Essahibi A, 2018, TREES-STRUCT FUNCT, V32, P87, DOI 10.1007/s00468-017-1613-8; Fichtner E. J., 2021, Acta Horticulturae, P1, DOI 10.17660/ActaHortic.2021.1315.1; Fikrinda F., 2019, IOP Conference Series: Earth and Environmental Science, V334, DOI 10.1088/1755-1315/334/1/012072; Fink JR, 2016, CIENC AGROTEC, V40, P369, DOI 10.1590/1413-70542016404023016; Garcia-Molano J.F., 2014, REV LOGOS CIENC TEC, V6, P1, DOI [10.22335/rlct.v6i1.136, DOI 10.22335/RLCT.V6I1.136]; Garcia-Molano J.F, 2010, CULT SCI, V8, P8; Gomez-del-Campo M, 2020, SCI HORTIC-AMSTERDAM, V272, DOI 10.1016/j.scienta.2020.109583; Haberman A, 2017, PLANT CELL ENVIRON, V40, P1263, DOI 10.1111/pce.12922; Hao ZP, 2019, VIRUSES-BASEL, V11, DOI 10.3390/v11060534; Hinsinger P, 2015, ANNU PLANT REV, V48, P377, DOI 10.1002/9781118958841.ch13; Igiehon NO, 2018, INT J ENV RES PUB HE, V15, DOI 10.3390/ijerph15040574; Instituto Geografico Agustin Codazzi, 2006, METODOS ANAL TICOS L, P648; Jimenez-Brenes FM, 2017, PLANT METHODS, V13, DOI 10.1186/s13007-017-0205-3; Kabir AH, 2020, PLANT PHYSIOL BIOCH, V150, P254, DOI 10.1016/j.plaphy.2020.03.010; Lazicki P, 2020, J ENVIRON QUAL, V49, P483, DOI 10.1002/jeq2.20030; Le S, 2008, J STAT SOFTW, V25, P1, DOI 10.18637/jss.v025.i01; Lehmann J, 2015, NATURE, V528, P60, DOI 10.1038/nature16069; Lemanowicz J, 2018, ENVIRON SCI POLLUT R, V25, P33773, DOI 10.1007/s11356-018-3348-5; Lenth R., EMMEANS ESTIMATED MA; Liao DH, 2018, INT J MOL SCI, V19, DOI 10.3390/ijms19103146; Liu HF, 2020, GEODERMA, V357, DOI 10.1016/j.geoderma.2019.113921; Liu MH, 2021, PLANT SOIL, V461, P421, DOI 10.1007/s11104-021-04831-1; Lodolini EM, 2017, ACTA HORTIC, V1160, P113, DOI [10.17660/ActaHortic.2017.1160.16, 10.17660/actahortic.2017.1160.16]; Lopez-Bernal A, 2020, TREE PHYSIOL, V40, P445, DOI 10.1093/treephys/tpaa010; Margalef O, 2017, SCI REP-UK, V7, DOI 10.1038/s41598-017-01418-8; Martin-Rodriguez JA, 2016, FRONT PLANT SCI, V7, DOI 10.3389/fpls.2016.01273; Marzi M, 2020, J SOIL SCI PLANT NUT, V20, P177, DOI 10.1007/s42729-019-00116-w; Matsui K, 2021, SOIL SCI PLANT NUTR, V67, P233, DOI 10.1080/00380768.2021.1902750; Menezes-Blackburn D, 2018, PLANT SOIL, V427, P5, DOI 10.1007/s11104-017-3362-2; MILLER GL, 1959, ANAL CHEM, V31, P426, DOI 10.1021/ac60147a030; Miranda-Fuentes A, 2015, SENSORS-BASEL, V15, P3671, DOI 10.3390/s150203671; Mohanty SP, 2016, FRONT PLANT SCI, V7, DOI 10.3389/fpls.2016.01419; Motisi N, 2019, SCI REP-UK, V9, DOI 10.1038/s41598-019-38775-5; Munoz-Cobo M.P., 1998, EDITORIAL AGR COLA E, V52, P77; Munsell Color, 2000, MUNSELL SOIL COLOR C; Nehls U, 2018, NEW PHYTOL, V220, P1047, DOI 10.1111/nph.15257; Newson R, 2002, STATA J, V2, P45, DOI 10.1177/1536867X0200200103; Oldfield EE, 2018, PLANT SOIL, V423, P363, DOI 10.1007/s11104-017-3513-5; Osorio NW, 2001, ARID LAND RES MANAG, V15, P263, DOI 10.1080/15324980152119810; Parton W.J., 2020, STRUCTURE ORGANIC MA, P421; Pereira APD, 2021, SCI TOTAL ENVIRON, V758, DOI 10.1016/j.scitotenv.2020.143711; Pio R., 2019, ACTA SCI-AGRON, V41, P39582, DOI [10.4025/actasciagron.v41i1.39582, DOI 10.4025/ACTASCIAGRON.V41I1.39582]; Ramos FT, 2018, J SCI FOOD AGR, V98, P3595, DOI 10.1002/jsfa.8881; Rich MK, 2014, FRONT PLANT SCI, V5, DOI 10.3389/fpls.2014.00238; Sousa AAR, 2021, SUSTAINABILITY-BASEL, V13, DOI 10.3390/su13147983; Rosati A, 2021, AGRICULTURE-BASEL, V11, DOI 10.3390/agriculture11040351; RStudio Team, 2022, RSTUDIO INT DEV ENV; Ruiz S.L.M., 2019, REV COLOMB CIEN HORT, V13, pe9202, DOI [10.17584/rcch.2019v13i1.9202, DOI 10.17584/RCCH.2019V13I1.9202]; Sanchez-de Prager M., 2010, METODOLOGIA BASICA T; Saumya Singh, 2017, Rhizobium biology and biotechnology, P309; Sieverding E., 1983, MANUAL M TODOS INVES; Signorell, 2019, DESCTOOLS TOOLS DESC; Soudzilovskaia NA, 2015, GLOBAL ECOL BIOGEOGR, V24, P371, DOI 10.1111/geb.12272; Syib'li MA, 2013, AGRIVITA, V35, P44, DOI 10.17503/Agrivita-2013-35-1-p044-053; TABATABAI M. A., 1969, Soil Biology and Biochemistry, V1, P301, DOI 10.1016/0038-0717(69)90012-1; Tedersoo L, 2019, BIOL REV, V94, P1857, DOI 10.1111/brv.12538; Tejada M, 2020, APPL SOIL ECOL, V146, DOI 10.1016/j.apsoil.2019.103371; Tekaya M, 2016, ACTA PHYSIOL PLANT, V38, DOI 10.1007/s11738-016-2122-x; Tisdall J., 2020, STRUCTURE ORGANIC MA, P57, DOI DOI 10.1201/9781003075561; Torres M, 2017, FRONT PLANT SCI, V8, DOI 10.3389/fpls.2017.01830; van der Heijden MGA, 2017, P NATL ACAD SCI USA, V114, P11574, DOI 10.1073/pnas.1716329114; Venables WN, 2002, MODERN APPL STAT S; Walkley A, 1934, SOIL SCI, V37, P29, DOI 10.1097/00010694-193401000-00003; Wei T., 2017, CORRPLOT VISUALIZATI; Weissgerber TL, 2015, PLOS BIOL, V13, DOI 10.1371/journal.pbio.1002128; Wickham H., 2016, GGPLOT2 ELEGANT GRAP, DOI 10.1007/978-0-387-98141-3; Widdig M, 2019, FRONT ENV SCI-SWITZ, V7, DOI 10.3389/fenvs.2019.00185; WOOD PJ, 1980, CARBOHYD RES, V85, P271, DOI 10.1016/S0008-6215(00)84676-5; Yang XY, 2019, SOIL TILL RES, V187, P85, DOI 10.1016/j.still.2018.11.016; YODER ROBERT E., 1936, JOUR AMER SOC AGRON, V28, P337; Yu KH, 2016, ENVIRON MONIT ASSESS, V188, DOI 10.1007/s10661-015-5087-0; Zhang D, 2017, PLANT GENOME-US, V10, DOI 10.3835/plantgenome2017.04.0032; Zheng HF, 2018, PLANT ECOL, V219, P31, DOI 10.1007/s11258-017-0775-1; Zipori I, 2020, AGRICULTURE-BASEL, V10, DOI 10.3390/agriculture10010011; Zou YN, 2019, PAK J BOT, V51, P727, DOI 10.30848/PJB2019-2(39)</t>
  </si>
  <si>
    <t>10.3390/agronomy12051159</t>
  </si>
  <si>
    <t>1P3OT</t>
  </si>
  <si>
    <t>WOS:000801923100001</t>
  </si>
  <si>
    <t>Matallana-Puerto, CA; Rosero-Lasprilla, L; Ordonez-Blanco, JC; Goncalves, RVS; Cardoso, JCF</t>
  </si>
  <si>
    <t>Andres Matallana-Puerto, Carlos; Rosero-Lasprilla, Liliana; Camilo Ordonez-Blanco, Juan; Soares Goncalves, Rogerio Victor; Fernandes Cardoso, Joao Custodio</t>
  </si>
  <si>
    <t>Rarity up in the mountain: Ecological niche modeling, phenology, and reproductive biology of the most commercialized Masdevallia species</t>
  </si>
  <si>
    <t>JOURNAL FOR NATURE CONSERVATION</t>
  </si>
  <si>
    <t>Andes; Endemism; Fly Pollination; Niche modeling; Orchidaceae</t>
  </si>
  <si>
    <t>ORCHID PLATANTHERA-PRAECLARA; ANDEAN FOREST; POLLINATION; PLEUROTHALLIDINAE; EVOLUTIONARY; CONSEQUENCES; CONSERVATION; RANGE; PRECIPITATION; EXTINCTION</t>
  </si>
  <si>
    <t>Knowledge of how natural and anthropogenic factors can limit the distribution of rare species is key to develop conservation strategies. We show data on how both factors potentially affect the distribution of a rare high Andean orchid. We chose Masdevallia coccinea as a model because it is endangered and the most commercialized species of the entire genus. Using ecological niche modeling, we confirm its rarity, with a restricted potential occurrence equivalent to only 0.00005 % of South America, 0.0003 % of the Andes, and 0.0009 % of Colombia. We projected the future potential occurrence of M. coccinea and found that it can have a reduction of 43.49 % in the best-case scenario and 89.06 % in the worst-case scenario in 2100. We describe the flowering and fruiting phenologies and demonstrate that the precipitation two months before may determine the first one. Masdevallia coccinea is a rewardless species and, unlike most Pleurothallidinae species, we show that it is self-compatible but non-autonomous selfer. Thus, it is dependent on biotic pollination, performed only by Leucophenga sp. (Drosophilidae: Diptera) which has low efficiency (8.6 % of fruit set). This is the first pollinator report for the genus. While self-compatibility may be related to reproductive assurance, apparently inbreeding depression may affect populations since selfed fruits had less viable seeds. Nevertheless, self-pollination can be avoided by the retention of the anther cap on pollinia, giving more time until the pollinator flies away to another flower. We consider that the rarity of M. coccinea may be a result of both anthropogenic (habitat loss, climate change, and overcollection) and natural factors (high elevation distribution, self-compatibility, rewardless strategy, pollinator specificity, and low fruit set). The several new facets investigated here can be used for future conservation strategies of this emblematic species as well as other high Andean threatened species.</t>
  </si>
  <si>
    <t>[Andres Matallana-Puerto, Carlos; Rosero-Lasprilla, Liliana] Univ Pedag &amp; Tecnol Colombia, Fac Ciencias, Escuela Biol, Grp Invest Biol Conservac, Ave Cent Norte 39-115, Tunja, Boyaca, Colombia; [Andres Matallana-Puerto, Carlos] Univ Estadual Campinas, Inst Biol Vegetal, Programa Posgrad Biol Vegetal, BR-13083970 Campinas, SP, Brazil; [Camilo Ordonez-Blanco, Juan] Jardin Bot Bogota Jose Celestino Mutis, Ave Calle 63 68-95, Bogota, Colombia; [Soares Goncalves, Rogerio Victor] Univ Wollongong, Northfields Ave, Wollongong, NSW 2522, Australia; [Fernandes Cardoso, Joao Custodio] Univ Fed Alfenas, Inst Ciencias Nat, BR-37130000 Alfenas, MG, Brazil</t>
  </si>
  <si>
    <t>Universidad Pedagogica y Tecnologica de Colombia (UPTC); Universidade Estadual de Campinas; University of Wollongong; Universidade Federal de Alfenas</t>
  </si>
  <si>
    <t>Matallana-Puerto, CA (corresponding author), Univ Estadual Campinas, Inst Biol Vegetal, Programa Posgrad Biol Vegetal, BR-13083970 Campinas, SP, Brazil.</t>
  </si>
  <si>
    <t>Rosero, Liliana/B-8304-2019</t>
  </si>
  <si>
    <t>Rosero, Liliana/0000-0002-0163-9231</t>
  </si>
  <si>
    <t>Alba-Patino D, 2021, MEDITERR BOT, V42, DOI 10.5209/mbot.67589; Allouche O, 2006, J APPL ECOL, V43, P1223, DOI 10.1111/j.1365-2664.2006.01214.x; de Andrade AFA, 2020, ENVIRON MODELL SOFTW, V125, DOI 10.1016/j.envsoft.2019.104615; Armenteras D, 2003, BIOL CONSERV, V113, P245, DOI 10.1016/S0006-3207(02)00359-2; Arroyo MTK, 2006, ACTA OECOL, V30, P248, DOI 10.1016/j.actao.2006.05.006; AUGSPURGER CK, 1987, ECOLOGY, V68, P27, DOI 10.2307/1938802; Azevedo MTA, 2007, BOT J LINN SOC, V153, P33, DOI 10.1111/j.1095-8339.2007.00589.x; Barbosa AR, 2009, PLANT SYST EVOL, V283, P1, DOI 10.1007/s00606-009-0212-6; Batalha MA, 2004, AUST J BOT, V52, P149, DOI 10.1071/BT03098; Betancur J., 2015, PLAN ESTUDIO CONSERV; Bivand RS, 2018, TEST-SPAIN, V27, P716, DOI 10.1007/s11749-018-0599-x; Blanco MA, 2005, ANN BOT-LONDON, V95, P763, DOI 10.1093/aob/mci090; Bleho BI, 2015, AM MIDL NAT, V174, P191, DOI 10.1674/0003-0031-174.2.191; Bogarin D, 2018, BOT J LINN SOC, V186, P510, DOI 10.1093/botlinnean/box087; Bolker Ben, 2020, CRAN; Borba Eduardo Leite, 2011, Lankesteriana, V11, P207; Borba EL, 2001, ANN BOT-LONDON, V88, P89, DOI 10.1006/anbo.2001.1435; Borba EL, 2001, ANN BOT-LONDON, V88, P75, DOI 10.1006/anbo.2001.1434; Brooks ME, 2017, R J, V9, P378, DOI 10.32614/RJ-2017-066; Calderon Saenz E., 2003, BIOTA COLOMB, V4, P187; Calderon-Saenz E., 2006, ORQUIDEAS PRIMERA PA, V6; CaraDonna PJ, 2012, CARIBB J SCI, V46, P249; Charlesworth D, 2006, CURR BIOL, V16, pR726, DOI 10.1016/j.cub.2006.07.068; Cheptou PO, 2019, ANN BOT-LONDON, V123, P337, DOI 10.1093/aob/mcy144; Core Team R., 2013, R LANG ENV STAT COMP; Cortes-Flores J, 2013, FOREST ECOL MANAG, V289, P445, DOI 10.1016/j.foreco.2012.10.038; Cozzolino S, 2005, TRENDS ECOL EVOL, V20, P487, DOI 10.1016/j.tree.2005.06.004; Crain BJ, 2014, DIVERS DISTRIB, V20, P652, DOI 10.1111/ddi.12179; Crawley M. J., 2013, R BOOK; CUERVO MARTÍNEZ MÓNICA ADRIANA, 2012, Acta biol.Colomb., V17, P575; Cuesta F, 2020, J BIOGEOGR, V47, P408, DOI 10.1111/jbi.13759; DAFNI A, 1992, POLLINATION ECOLOGY; DELONG ER, 1988, BIOMETRICS, V44, P837, DOI 10.2307/2531595; Di Gregorio A., 2005, LAND COVER CLASSIFIC; Dodson, 1966, ORCHID FLOWERS THEIR; Duffy KJ, 2017, P ROY SOC B-BIOL SCI, V284, DOI 10.1098/rspb.2017.1841; Duque-Buitrago Carol Andrea, 2014, Lankesteriana, V13, P407; Eckert CG., 2006, ECOLOGY EVOLUTION FL, P183; Velazco SJE, 2017, PLOS ONE, V12, DOI 10.1371/journal.pone.0186025; Endara Lorena, 2010, Lankesteriana, V10, P1; Enquist BJ, 2019, SCI ADV, V5, DOI 10.1126/sciadv.aaz0414; Feeley KJ, 2010, GLOBAL CHANGE BIOL, V16, P3215, DOI 10.1111/j.1365-2486.2010.02197.x; Cardoso JCF, 2018, ACTA BOT BRAS, V32, P329, DOI 10.1590/0102-33062018abb0124; Fick SE, 2017, INT J CLIMATOL, V37, P4302, DOI 10.1002/joc.5086; Flather Curtis H., 2007, P40; Fox J., 2011, R COMPANION APPL REG, V2; Freville H, 2007, ECOLOGY, V88, P2662, DOI 10.1890/06-1453.1; Gabrielova J, 2013, FOLIA GEOBOT, V48, P449, DOI 10.1007/s12224-012-9145-x; GBIF.org, 2020, GBIF OCC DOWNL MASD, DOI [10.15468/dl.t4qgm2, DOI 10.15468/DL.T4QGM2]; Glemin S, 2013, EVOLUTION, V67, P225, DOI 10.1111/j.1558-5646.2012.01778.x; Goldberg EE, 2010, SCIENCE, V330, P493, DOI 10.1126/science.1194513; HEINRICH B, 1975, EVOLUTION, V29, P325, DOI [10.2307/2407220, 10.1111/j.1558-5646.1975.tb00212.x]; Hengl T, 2017, PLOS ONE, V12, DOI 10.1371/journal.pone.0169748; Hothorn T., 2019, **DATA OBJECT**; Inouye David W., 2015, Journal of Pollination Ecology, V16, P115; Jersakova J, 2006, BIOL REV, V81, P219, DOI 10.1017/S1464793105006986; Johnson SD, 2016, FLORAL MIMICRY, P1, DOI 10.1093/acprof:oso/9780198732693.001.0001; Karremans A. P., 2019, P 22 WORLD ORCHID C, P363; Karremans Adam P., 2016, Lankesteriana, V16, P219, DOI 10.15517/lank.v16i2.26008; Karremans AP, 2015, ANN BOT-LONDON, V116, P437, DOI 10.1093/aob/mcv086; Kearns C.A, 1993, TECHNIQUES POLLINATI; Keller LF, 2002, TRENDS ECOL EVOL, V17, P230, DOI 10.1016/S0169-5347(02)02489-8; KUNIN WE, 1993, TRENDS ECOL EVOL, V8, P298, DOI 10.1016/0169-5347(93)90259-R; Lindley J., 1846, ORCHIDACEAE LINDENIA; Liu CR, 2005, ECOGRAPHY, V28, P385, DOI 10.1111/j.0906-7590.2005.03957.x; Lowry E, 2006, J BIOGEOGR, V33, P1975, DOI 10.1111/j.1365-2699.2006.01562.x; Lund U., 2017, CIRCULAR CIRCULAR ST; MARQUARDT DW, 1970, TECHNOMETRICS, V12, P591, DOI 10.2307/1267205; McCune JL, 2016, J APPL ECOL, V53, P1871, DOI 10.1111/1365-2664.12702; Miller AL, 2003, BIOL CONSERV, V110, P153, DOI 10.1016/S0006-3207(02)00192-1; Morellato LPC, 2010, PHENOLOGICAL RESEARCH: METHODS FOR ENVIRONMENTAL AND CLIMATE CHANGE ANALYSIS, P339, DOI 10.1007/978-90-481-3335-2_16; Moreno Juan Sebastian, 2020, Harvard Papers in Botany, V25, P111, DOI 10.3100/hpib.v25iss1.2020.n14; Morrison LW, 2015, NAT AREA J, V35, P246, DOI 10.3375/043.035.0205; Morueta-Holme N, 2015, P NATL ACAD SCI USA, V112, P12741, DOI 10.1073/pnas.1509938112; Neiland MRM, 1998, AM J BOT, V85, P1657, DOI 10.2307/2446499; NILSSON LA, 1992, TRENDS ECOL EVOL, V7, P255, DOI 10.1016/0169-5347(92)90170-G; Ordóñez-Blanco Juan Camilo, 2017, Lankesteriana, V17, P1, DOI 10.15517/lank.v17i1.27897; Pansarin ER, 2016, AUST J BOT, V64, P359, DOI 10.1071/BT15177; Phillips RD, 2014, BIOL CONSERV, V169, P285, DOI 10.1016/j.biocon.2013.11.027; Phillips S. B., 2006, International Journal of Global Environmental Issues, V6, P231, DOI 10.1504/IJGENVI.2006.010156; Plants of the World Online, 2020, PLANTS WORLD ONL; Rabinowitz D., 1981, BIOL ASPECTS RARE PL, P205, DOI DOI 10.1177/004728702237415; Rogelj J, 2018, IPCC INTERGOVERNMENT, P93; Rogelj J, 2012, NAT CLIM CHANGE, V2, P248, DOI [10.1038/NCLIMATE1385, 10.1038/nclimate1385]; Scopece G, 2010, AM NAT, V175, P98, DOI 10.1086/648555; Singer Rodrigo Bustos, 1999, Lindleyana, V14, P47; Sitko A., 2018, R PACKAGE VERSION, P6; Stefanaki A, 2015, PLOS ONE, V10, DOI 10.1371/journal.pone.0138414; Stpiczynska M, 2001, ACTA SOC BOT POL, V70, P91, DOI 10.5586/asbp.2001.012; Stroup W.W., 2013, GEN LINEAR MIXED MOD; Swarts ND, 2009, ANN BOT-LONDON, V104, P543, DOI 10.1093/aob/mcp025; Tremblay RL, 2006, CARIBB J SCI, V42, P75; Tremblay RL, 2005, BIOL J LINN SOC, V84, P1, DOI 10.1111/j.1095-8312.2004.00400.x; TREMBLAY RL, 1992, CAN J BOT, V70, P642, DOI 10.1139/b92-083; Tsiftsis S, 2020, SCI REP-UK, V10, DOI 10.1038/s41598-020-67491-8; VANSCHAIK CP, 1993, ANNU REV ECOL SYST, V24, P353, DOI 10.1146/annurev.es.24.110193.002033; Viveros Paula, 2007, Selbyana, V28, P13; Weller Stephen G., 1994, P90, DOI 10.1017/CBO9780511623325.006; Willson Gary D., 2006, Great Plains Research, V16, P37; Wright SI, 2013, P ROY SOC B-BIOL SCI, V280, DOI 10.1098/rspb.2013.0133; Yuan S, 2017, ANN BOT-LONDON, V120, P775, DOI 10.1093/aob/mcx098; ZAPATA TR, 1978, BIOTROPICA, V10, P221, DOI 10.2307/2387907; Zuur Alain., 2009, J STAT SOFTWARE BOOK, DOI [DOI 10.18637/JSS.V032.B0, 10.1007/978-0-387-87458-6]</t>
  </si>
  <si>
    <t>ELSEVIER GMBH</t>
  </si>
  <si>
    <t>MUNICH</t>
  </si>
  <si>
    <t>HACKERBRUCKE 6, 80335 MUNICH, GERMANY</t>
  </si>
  <si>
    <t>1617-1381</t>
  </si>
  <si>
    <t>1618-1093</t>
  </si>
  <si>
    <t>J NAT CONSERV</t>
  </si>
  <si>
    <t>J. Nat. Conserv.</t>
  </si>
  <si>
    <t>10.1016/j.jnc.2021.126120</t>
  </si>
  <si>
    <t>Biodiversity Conservation; Ecology</t>
  </si>
  <si>
    <t>Biodiversity &amp; Conservation; Environmental Sciences &amp; Ecology</t>
  </si>
  <si>
    <t>0U8IV</t>
  </si>
  <si>
    <t>WOS:000787891800011</t>
  </si>
  <si>
    <t>Ramirez, M; Ariza, LR; Miranda, MEG; Vartika</t>
  </si>
  <si>
    <t>Ramirez, Maricela; Rodriguez Ariza, Lazaro; Gomez Miranda, Maria Elena; Vartika</t>
  </si>
  <si>
    <t>The Disclosures of Information on Cybersecurity in Listed Companies in Latin America-Proposal for a Cybersecurity Disclosure Index</t>
  </si>
  <si>
    <t>cybersecurity disclosure; disclosure index; cybersecurity governance; cybersecurity strategies; cybersecurity risk management; financial implications of cybersecurity risk</t>
  </si>
  <si>
    <t>GREENHOUSE-GAS EMISSIONS; ENVIRONMENTAL DISCLOSURE; CLIMATE-CHANGE; CORPORATE; PERFORMANCE; FIRMS</t>
  </si>
  <si>
    <t>For the corporate sphere, cybersecurity becomes an inescapable business responsibility, and accountability becomes a way of providing trust and ensuring resilience against cyber risks and high-impact cyber threats. The purpose of this study was to create a disclosure index that allows analysis of the scope of the disclosure of voluntary and mandatory cybersecurity information. The content analysis technique used focuses on the examination and identification of the cybersecurity information revealed in the annual reports and the 20 F annual forms of the companies with the highest stock market prices in Argentina, Brazil, Chile, Colombia, Mexico, and Peru during the period of 2016-2020. Longitudinal analysis indicates an increase over time in the disclosures and scope of information. The findings highlight that the country with the highest related disclosure is Argentina; the most extensive disclosures are due to the financial sector; and the strategy dimension represents the greatest weight in the index score. The study provides a novel instrument for measuring the content of disclosure on cybersecurity that is applicable in any specific context. In this case, the scope of disclosure in Latin America-a region which, according to our research, does not have previous studies on the subject-is evaluated.</t>
  </si>
  <si>
    <t>[Ramirez, Maricela] Pedag &amp; Technol Univ Colombia, Fac Econ &amp; Adm Sci, Tunja 150001, Colombia; [Rodriguez Ariza, Lazaro; Gomez Miranda, Maria Elena] Univ Granada, Dept Financial Econ &amp; Accounting, Granada 18071, Spain; [Vartika] Indian Inst Management Rohtak, Rohtak 124010, Haryana, India</t>
  </si>
  <si>
    <t>Universidad Pedagogica y Tecnologica de Colombia (UPTC); University of Granada; Indian Institute of Management (IIM System); Indian Institute of Management Rohtak</t>
  </si>
  <si>
    <t>Ramirez, M (corresponding author), Pedag &amp; Technol Univ Colombia, Fac Econ &amp; Adm Sci, Tunja 150001, Colombia.</t>
  </si>
  <si>
    <t>maricela@correo.ugr.es; lazaro@ugr.es; melena@ugr.es; vartikajnu3007@gmail.com</t>
  </si>
  <si>
    <t>Rodríguez, Lázaro/L-1383-2014</t>
  </si>
  <si>
    <t>Rodríguez, Lázaro/0000-0002-5650-7703; Gomez Miranda, Maria Elena/0000-0001-7426-7136; Ramirez, Maricela/0000-0002-3987-3197</t>
  </si>
  <si>
    <t>Aguilar J.A.M., 2020, REV ESTUD SEGUR INT, V6, P17, DOI [10.18847/1.12.2, DOI 10.18847/1.12.2]; Aguilar J.A.M., 2019, REV LATINOAM ESTUD S, V25, P24; AICPA, 2018, CYB RISK MAN REP, P1; AICPA, 2017, GUID REP ENT CYB RIS; Amir E, 2018, REV ACCOUNT STUD, V23, P1177, DOI 10.1007/s11142-018-9452-4; Andrikopoulos A, 2014, RES INT BUS FINANC, V32, P27, DOI 10.1016/j.ribaf.2014.02.001; [Anonymous], 2005, C9512005 IEEE; Axa, 2020, BUG TRACK BEST PRACT; Bakker T.G., 2015, BEADLE SCHOLAR ACCUR; Barmpaliou N., 2020, CYBERSECURITY RISKS; Barre T, 2022, SUBST USE MISUSE, V57, P656, DOI 10.1080/10826084.2021.2019782; Berelson B., 1952, CONTENT ANAL LINDZEY; Berkman H, 2018, J ACCOUNT PUBLIC POL, V37, P508, DOI 10.1016/j.jaccpubpol.2018.10.003; Boneh D, 2003, SIAM J COMPUT, V32, P586, DOI 10.1137/S0097539701398521; Bonson E., 2004, REV ESPANOLA FINANC, V33, P1063; Bushman RM, 2004, J ACCOUNT RES, V42, P207, DOI 10.1111/j.1475-679X.2004.00136.x; Calderon TG, 2021, INT J AUDIT, V25, P24, DOI 10.1111/ijau.12209; Campbell JL, 2014, REV ACCOUNT STUD, V19, P396, DOI 10.1007/s11142-013-9258-3; Chithambo L, 2014, J APPL ACCOUNT RES, V15, P323, DOI 10.1108/JAAR-11-2013-0087; Choi F. D. S., 1973, J ACCOUNT RES, V11, P159; Choi J., 2010, STUDY IMPROVEMENT HO; CHOW CW, 1987, ACCOUNT REV, V62, P533; Chu CI, 2012, MANAG AUDIT J, V28, P114, DOI 10.1108/02686901311284531; Clarkson PM, 2008, ACCOUNT ORG SOC, V33, P303, DOI 10.1016/j.aos.2007.05.003; Clarkson PM, 2013, J ACCOUNT PUBLIC POL, V32, P410, DOI 10.1016/j.jaccpubpol.2013.06.008; Contos Brian, 2019, DARK READING; Cooke T. E., 1989, ACCOUNTING BUSINESS, V20, P47; Creese, REG TRENDS CYB READ; Danezis G., 2019, CYBER SECURITY BODY, P299; Darus F, 2020, EUR J MANAG BUS ECON, V29, P84, DOI 10.1108/EJMBE-06-2019-0099; Datt RR, 2019, ACCOUNT RES J, V32, P417, DOI 10.1108/ARJ-02-2017-0031; Deloitte, 2021, EYE PRIZ FOOTB MON L; Deloitte Cybersecurity, 2015, CYB CHANG ROL AUD CO; Di Lernia C., 2020, CO SECUR, V5, P23; E&amp;Y, 2019, WHAT COMP AR DISCL C, P1; E&amp;Y, 2018, CYB DISCL BENCHM; Eijkelenboom EVA, 2021, COMPUT LAW SECUR REV, V40, DOI [10.1016/j.clsr.2020.1055130267-3649/, 10.1016/j.clsr.2020.105513]; Ernst Young, 2019, WHAT BOARDS AR DOING, P1; Ettredge M, 2018, J ACCOUNT PUBLIC POL, V37, P564, DOI 10.1016/j.jaccpubpol.2018.10.006; Formigoni H, 2021, SOC RESPONSIB J, V17, P282, DOI 10.1108/SRJ-01-2019-0043; Freedman M, 2005, INT J ACCOUNT, V40, P215, DOI 10.1016/j.intacc.2005.06.004; Gao L, 2020, INT J ACCOUNT INF SY, V38, DOI 10.1016/j.accinf.2020.100468; Gordon L. A., 2006, J ACCOUNT PUBLIC POL, V25, P503; Gordon LA, 2015, J CYBERSECURITY, V1, P3, DOI 10.1093/cybsec/yv011; Gordon LA, 2010, MIS QUART, V34, P567; GSSB, 2016, GRI 418 PRIV CLIENT; Haque S, 2010, AUST ACCOUNT REV, V20, P317, DOI 10.1111/j.1835-2561.2010.00107.x; Hardiyansah M., 2020, INT J SCI TECHNOL RE, V9, P1125; Heroux S, 2020, ACCOUNT PERSPECT, V19, P73, DOI 10.1111/1911-3838.12220; Holland &amp; Knight SEC, 2021, 1 EV PEN DEF CYB RIS; IDB &amp; OAS Inter-American Development Bank &amp; Organization of American States, 2020, CYB RISKS PROGR WAY; IICA, 2020, RUR CONN LAT AM CAR; Inchausti AG, 1997, EUROPEAN ACCOUNTING, V6, P45, DOI DOI 10.1080/096381897336863; IOSCO, 2019, CYB TASK FORC FIN RE; IRRC, 2016, CORP RISK FACT DISCL; ISO, 2013, 483312013 ISO; ISO/IEC, 2019, 9241210 ISO; ITU, NEW VERS VID COD STD; ITU Global Cybersecurity Index (GCI), 2018, ITU PUBL STUD RES 20; ITU ITU, 2007, ITU GLOB CYB AG FRAM; King M., 2016, I DIR, P1; Klemash SW, 2020, WHAT COMP AR DISCL C; Leo M, 2020, RISKS, V8, DOI 10.3390/risks8040128; Li H, 2018, INT J ACCOUNT INF SY, V30, P40, DOI 10.1016/j.accinf.2018.06.003; Liesen A, 2015, ACCOUNT AUDIT ACCOUN, V28, P1047, DOI 10.1108/AAAJ-12-2013-1547; Marshall A, 2007, J BUS FINAN ACCOUNT, V34, P705, DOI 10.1111/j.1468-5957.2007.02007.x; Marston C.L., 1991, BRIT ACCOUNT REV, V23, P195, DOI DOI 10.1016/0890-8389(91)90080-L; Miller GS, 2004, J ACCOUNT RES, V42, P253, DOI 10.1111/j.1475-679X.2004.00137.x; Morse E.A., 2018, BUS LAWYER, V73, P1, DOI [10.2139/ssrn.2711439, DOI 10.2139/SSRN.2711439]; Nishioka G J, 1986, Anesth Prog, V33, P245; NITS, 2002, RISK MANAGEMENT GUID, DOI [10.6028/NIST.SP.800-30, DOI 10.6028/NIST.SP.800-30]; OCIE OCIE, 2020, OCIE CYB RES OB; OECD, 2015, DIG SEC RISK MAN EC, DOI 10.1787/9789264245471-en; Organisation for Economic Cooperation and Development, 2011, OECD GUID MULT ENT, DOI DOI 10.1787/9789264115415-EN; Ortiz E., 2006, SPAN J FINANC ACCOUN, V35, P87, DOI [10.1080/02102412.2006.10779574, DOI 10.1080/02102412.2006.10779574]; Pitrakkos P, 2020, SUSTAIN ACCOUNT MANA, V11, P553, DOI 10.1108/SAMPJ-03-2018-0081; Plumlee M, 2015, J ACCOUNT PUBLIC POL, V34, P336, DOI 10.1016/j.jaccpubpol.2015.04.004; Porrua M., 2020, CYBERSECURITY RISK P; Prado-Lorenzo JM, 2009, MANAGE DECIS, V47, P1133, DOI 10.1108/00251740910978340; PricewaterhouseCoopers (PwC), 2018, WILL ROBOTS REALLY S; PwC, 2021, MIN 2021 GREAT EXP S; Radu C, 2022, J BUS ETHICS, V177, P351, DOI 10.1007/s10551-020-04717-9; Rankin M, 2011, ACCOUNT AUDIT ACCOUN, V24, P1037, DOI 10.1108/09513571111184751; RobecoSAM, SUST YB; S&amp;P Global, 2020, SUSTAINABLE DEV GOAL; Schubert W., 2015, CYBERSECUR LAW REP, V1, P39; Scott WR, 2008, THEOR SOC, V37, P427, DOI 10.1007/s11186-008-9067-z; SEC, 2005, STAFF STAT MAN REP I; SEC, 2018, COMM STAT GUID PUBL; SEC, 2021, SEC PROD; Steinbart PJ, 2018, ACCOUNT ORG SOC, V71, P15, DOI 10.1016/j.aos.2018.04.005; TCFD, 2021, IMPL REC TASK FORC C; United States Department of Justice, 2001, US PATRIOT ACT PRES; Urrutia F.D., 2020, CYBERSECURITY RISKS; von Solms B, 2018, INF COMPUT SECUR, V26, P2, DOI 10.1108/ICS-04-2017-0025; Wang TW, 2013, INFORM SYST RES, V24, P201, DOI 10.1287/isre.1120.0437; World Economic Forum, 2021, GLOB RISKS REP 2021, V16th ed.; Zhang, 2016, SSRN ELECT J, DOI 10.2139/ssrn.2852519</t>
  </si>
  <si>
    <t>10.3390/su14031390</t>
  </si>
  <si>
    <t>0H8WV</t>
  </si>
  <si>
    <t>WOS:000779011600001</t>
  </si>
  <si>
    <t>Cubides, PAS; Jimenez, DMH</t>
  </si>
  <si>
    <t>Sanchez Cubides, Pedro Alfonso; Higuera Jimenez, Diego Mauricio</t>
  </si>
  <si>
    <t>The right to education: elements, scope and challenges</t>
  </si>
  <si>
    <t>COLLECTIVUS-REVISTA DE CIENCIAS SOCIALES</t>
  </si>
  <si>
    <t>human rights; fundamental rights; education; coverage; availability; human development</t>
  </si>
  <si>
    <t>Currently, education is presented in society as a guarantee and a right; therefore, its enforceability in both the national and international spheres is constituted by the fact that it is inherent to the human condition. In this sense, it is possible to invoke the safeguarding and provision of the educational service, in order to achieve compliance with the essential purposes of the Colombian State. It is therefore; that education, being framed within the social State of law, must be implemented following progressive parameters. This study aims to analyze the development and elements of the right to education in international human rights protection systems and present some approaches from the perspective of the Colombian legal system. It is concluded that Colombia has formulated and implemented plans, programs and projects aimed at guaranteeing the right to education in accordance with international and national guidelines. However, there are still exclusions that violate the materialization of the right to education, which is why some alternatives of a structural nature are proposed to overcome the problems currently facing education in Colombia. The method used was the consultation of different bibliographic and legal sources specialized in the subject, as well as some sentences issued by the Constitutional Court and the Inter-American Court of Human Rights, especially.</t>
  </si>
  <si>
    <t>[Sanchez Cubides, Pedro Alfonso] UPTC, Fac Derecho &amp; Ciencias Sociales, Ave Cent Norte 39-115, Tunja, Boyaca, Colombia; [Higuera Jimenez, Diego Mauricio] Univ Santo Tomas, Secc Tunja, Fac Derecho, Carrera 1F 40-149 Oficina 322, Tunja, Boyaca, Colombia</t>
  </si>
  <si>
    <t>Universidad Pedagogica y Tecnologica de Colombia (UPTC); Universidad Santo Tomas USTA</t>
  </si>
  <si>
    <t>Cubides, PAS (corresponding author), UPTC, Fac Derecho &amp; Ciencias Sociales, Ave Cent Norte 39-115, Tunja, Boyaca, Colombia.</t>
  </si>
  <si>
    <t>pedro.sanchez02@uptc.edu.co; higuerajimenez.abogado@gmail.com</t>
  </si>
  <si>
    <t>Alcaldia de Tunja, 2018, RES N 000360 2018; Alexy R., 1993, TEORIA DERECHOS FUND; [Anonymous], 1992, LEY 115 1994; Asamblea General de las Naciones Unidas, 1966, PACTO INT DERECHOS E; Asamblea General de las Naciones Unidas, 1948, DECLARACION UNIVERSA; Asamblea Nacional Constituyente, 1991, GACETA CONSTITUCIONA; Asmar M., 2016, EL ESPECTADOR; Calle Maria Victoria, 2010, SENT T 110 2010; Cifuentes Eduardo, 1998, SENT T 656 1998; Congreso de Colombia, 1992, LEY 30 1992; Congreso de Colombia, 1994, LEY 115 1994; Corte Interamericana de Derechos Humanos, 2004, CAS I REED MEN VS PA; Corte Interamericana de Derechos Humanos, 1985, CAS NO 7615; Corte Interamericana de Derechos Humanos, 2005, CAS NIN YEAN BOS VS; De Zubiria J., 2017, REV SEMANA; Espinosa J., 2014, HABLEMOS EDUCACION; Ferrajoli L., 2009, FUNDAMENTOS DERECHOS; Fondo de las Naciones Unidas para la Infancia, 2017, UN CAD NIN; Gaviria Carlos, 1999, SENT T 695 1999; Guarnizo A, 2014, EL ESPECTADOR; Higuera D., 2015, PROTECCION DIGNIDAD; Higuera D, 2015, CONTROLE CONSTITUTIO; Martinez Alejandro, 1992, SENT T 002 1992; Martinez Alejandro, 2000, SENT T 944 2000; Ministerio de Educacion de Colombia, 2018, PROC REND CUENT 8 AN; Organizacion de los Estados Americanos, 1969, CONV AM DER HUM; Pinilla Nilson, 2009, SENT T 393 2009; Red Internacional para los Derechos Economicos Sociales y Culturales, 2012, COM YAN CAS N 7615; Rodriguez J., 2018, SECRETARIO EDUCACION; Rodriguez V, 2009, SENTENCIAS CORTE INT; Rousseau J, 2006, CONTRATO SOCIAL DERE; Sanchez P., 2021, DESAFIOS FORMACION T; Sanchez P, 2016, POLITICAS PUBLICAS E; Secretaria de Educacion de Boyaca, 2017, ED CREAT VID</t>
  </si>
  <si>
    <t>2382-4018</t>
  </si>
  <si>
    <t>COLLECTIVUS</t>
  </si>
  <si>
    <t>Collectivus</t>
  </si>
  <si>
    <t>10.15648/Collectivus.vol9num2.2022.3525</t>
  </si>
  <si>
    <t>9B5BN</t>
  </si>
  <si>
    <t>WOS:000934752400009</t>
  </si>
  <si>
    <t>Sermeno-Correa, C; Lopera-Toro, A; Moreno-Mancilla, O; Candamil-Banos, J; Ramirez-Restrepo, L; Taboada-Verona, C</t>
  </si>
  <si>
    <t>Sermeno-Correa, Carlos; Lopera-Toro, Alejandro; Moreno-Mancilla, Oscar; Candamil-Banos, Julian; Ramirez-Restrepo, Lorena; Taboada-Verona, Carlos</t>
  </si>
  <si>
    <t>Diversity of dung beetles (Coleoptera: Scarabaeidae) in three urban areas from Colombian Caribbean</t>
  </si>
  <si>
    <t>REVISTA PERUANA DE BIOLOGIA</t>
  </si>
  <si>
    <t>In this paper, diversity and composition of dung beetles assemblage was study in three urbanized areas with different ecological characteristics from Sucre department , Colombia. Individuals were captured with baited pitfall traps. Sampling effort, range-abundance curves, alpha and beta diversity indices were estimated and compared among the sites. Seven hundred ten individuals grouped into nine genera and 13 species were recorded. The completeness analysis yielded values above 97%. The most diverse assemblage in any of the three orders of q was found in the site with a mixture of buildings, gardens, and a patch of secondary vegetation forest, followed by the site with few facilities and open green spaces, and the least diverse site corresponded to the area surrounded by buildings with little vegetation cover. Sorensen-Dice index similarity among the three sites was 38%. The range-abundance curves showed higher species equitability in the most diverse site. The results show that the beetle assemblage composition depends on environmental conditions and the degree of urbanization. It was also evident that some species have high adaptability to urban spaces and others are potentially at risk of local extinction events.</t>
  </si>
  <si>
    <t>[Sermeno-Correa, Carlos] Univ Sucre, Invest Biomed, Sincelejo, Colombia; [Lopera-Toro, Alejandro] Fdn Ecotrop Colombia, Bogota, DC, Colombia; [Moreno-Mancilla, Oscar] Univ Pedag &amp; Tecnol Colombia, Grp Invest Sistemat Biol Sisbio, Tunja, Boyaca, Colombia; [Candamil-Banos, Julian] Univ Sucre, Sincelejo, Colombia; [Ramirez-Restrepo, Lorena] Dept Adm Gest Medio Ambiente DAG MA, Grp Conservac Ecosistemas, Ave SAN 20-08, Cali, Valle Del Cauca, Colombia; [Taboada-Verona, Carlos] Univ Sucre, Grp Evoluc &amp; Sistemat Trop, Sincelejo, Colombia; [Taboada-Verona, Carlos] MCS Consultoria &amp; Monitoreo Ambiental, Bogota, Colombia</t>
  </si>
  <si>
    <t>Taboada-Verona, C (corresponding author), Univ Sucre, Grp Evoluc &amp; Sistemat Trop, Sincelejo, Colombia.;Taboada-Verona, C (corresponding author), MCS Consultoria &amp; Monitoreo Ambiental, Bogota, Colombia.</t>
  </si>
  <si>
    <t>sermenoca@gmail.com; alejandro.lopera@gmail.com; felipemmancilla@gmail.com; juliancandamil92@gmail.com; lorena.ramirez.restrepo@gmail.com; carlostaboadaverona@gmail.com</t>
  </si>
  <si>
    <t>Sermeno Correa, Carlos Alberto/0000-0001-6513-3822</t>
  </si>
  <si>
    <t>Aguilera-Diaz M., 2005, EC DEP SUCRE GANADER, DOI [10.32468/ dtseru.63, DOI 10.32468/DTSERU.63]; Amell-Caez Y, 2019, REV COLOMB ENTOMOL, V45, DOI 10.25100/socolen.v45i2.7963; Andresen E, 2001, J TROP ECOL, V17, P61, DOI 10.1017/S0266467401001043; Noriega JA, 2020, ECOL INDIC, V117, DOI 10.1016/j.ecolind.2020.106580; Noriega Jorge Ari, 2016, Rev. acad. colomb. cienc. exact. fis. nat., V40, P75, DOI 10.18257/raccefyn.255; Noriega JA, 2013, CALDASIA, V35, P465; Arriaga A, 2012, REV MEX BIODIVERS, V83, P519; Barraza J, 2010, REV COLOMB ENTOMOL, V36, P285; Baselga A, 2010, GLOBAL ECOL BIOGEOGR, V19, P134, DOI 10.1111/j.1466-8238.2009.00490.x; Baselga A, 2012, METHODS ECOL EVOL, V3, P808, DOI 10.1111/j.2041-210X.2012.00224.x; Beninde J, 2015, ECOL LETT, V18, P581, DOI 10.1111/ele.12427; Camero Rubio Edgar, 2010, Boletin de la SEA, V46, P147; Carpaneto GM, 2005, BIOL CONSERV, V123, P547, DOI 10.1016/j.biocon.2004.12.007; Chao A, 2014, ECOL MONOGR, V84, P45, DOI 10.1890/13-0133.1; Chao A, 2012, ECOLOGY, V93, P2533, DOI 10.1890/11-1952.1; Core Team R., 2013, R LANG ENV STAT COMP; Correa CMA, 2021, URBAN ECOSYST, V24, P1023, DOI 10.1007/s11252-021-01093-8; de la Flor YAD, 2017, ECOSPHERE, V8, DOI 10.1002/ecs2.2007; Delgado-Gomez P., 2012, COLOMBIA DIVERSIDAD; Edmonds W.D., 2010, Insecta Mundi, V0129, P1; Escobar F, 2000, REV BIOL TROP, V48, P961; Escobar-S. Federico, 1997, Caldasia, V19, P419; Fattorini S, 2011, BIOL CONSERV, V144, P370, DOI 10.1016/j.biocon.2010.09.014; Filgueiras BKC, 2011, BIOL CONSERV, V144, P362, DOI 10.1016/j.biocon.2010.09.013; Fowler F, 2020, ENVIRON ENTOMOL, V49, P1105, DOI 10.1093/ee/nvaa094; Fuentes-Medina P, 2009, ENTOMOTROPICA, V21, P133; GÁMEZ Jorge, 2009, Acta Zool. Mex, V25, P387; Gonzalez-Alvarado Arturo, 2015, Biota Colombiana, V16, P36; Halffter Gonzalo, 1993, Biology International, V27, P15; Hamer AJ, 2008, BIOL CONSERV, V141, P2432, DOI 10.1016/j.biocon.2008.07.020; Hanski I., 1991, DUNG BEETLE ECOLOGY, P481, DOI DOI 10.1515/9781400862092; Holdridge L. R., 1987, ECOLOGIA BASADA ZONA; HOWDEN HF, 1991, BIOTROPICA, V23, P51, DOI 10.2307/2388687; JIMÉNEZ-FERBANS LARRY, 2008, Acta biol.Colomb., V13, P203; Jost L, 2006, OIKOS, V113, P363, DOI 10.1111/j.2006.0030-1299.14714.x; Knop E, 2016, GLOBAL CHANGE BIOL, V22, P228, DOI 10.1111/gcb.13091; Kohlmann Bert, 2001, Giornale Italiano di Entomologia, V9, P159; Korasaki V, 2013, INSECT SCI, V20, P393, DOI 10.1111/j.1744-7917.2012.01509.x; Lovett GM, 2009, ANN NY ACAD SCI, V1162, P99, DOI 10.1111/j.1749-6632.2009.04153.x; Rangel-Acosta JL, 2017, REV MEX BIODIVERS, V88, P389, DOI 10.1016/j.rmb.2017.03.012; Lynch AJ, 2019, J PLAN LIT, V34, P131, DOI 10.1177/0885412218798334; MacGregor-Fors I, 2015, URBAN ECOSYST, V18, P633, DOI 10.1007/s11252-014-0410-z; Martello F, 2016, J INSECT CONSERV, V20, P957, DOI 10.1007/s10841-016-9928-0; [Anonymous], 2012, Ecol. austral, V22, P203; Martinez Neis Jose, 2010, Boletin del Museo de Entomologia de la Universidad del Valle, V11, P21; McKinney M. L., 2008, Urban Ecosystems, V11, P161, DOI 10.1007/s11252-007-0045-4; McKinney ML, 2006, BIOL CONSERV, V127, P247, DOI 10.1016/j.biocon.2005.09.005; Medina Claudia Alejandra, 2000, Caldasia, V22, P299; Moreno Claudia E., 2007, m3m Monografias Tercer Milenio, V7, P179; Navarro I. L., 2011, Revista Colombiana de Ciencia Animal, V3, P102; Nichols E, 2008, BIOL CONSERV, V141, P1461, DOI 10.1016/j.biocon.2008.04.011; Noriega JA, 2021, BIOTROPICA, V53, P753, DOI 10.1111/btp.12953; Noriega JA, 2021, OECOLOGIA, V195, P719, DOI 10.1007/s00442-020-04831-5; Ortega-Alvarez R, 2011, LANDSCAPE URBAN PLAN, V101, P1, DOI 10.1016/j.landurbplan.2010.12.020; Pizano C., 2014, BOSQUE SECO TROPICAL; Proppe DS, 2013, GLOBAL CHANGE BIOL, V19, P1075, DOI 10.1111/gcb.12098; Ramirez-Restrepo L, 2016, URBAN ECOSYST, V19, P1179, DOI 10.1007/s11252-016-0536-2; Rangel-Acosta Jorge Luis, 2012, Boletin de la SEA, V50, P409; Salomao RP, 2019, ECOL INDIC, V103, P665, DOI 10.1016/j.ecolind.2019.04.045; Sarmiento-Garces R., 2014, ESCARABAJOS GENERO D; Sarmiento-Garces R, 2021, PLOS ONE, V16, DOI 10.1371/journal.pone.0244783; Shizukuda K, 2021, ENTOMOL SCI, V24, P157, DOI 10.1111/ens.12466; Smith ABT, 2007, ZOOTAXA, P1; Solis A., 2004, G ITAL ENTOMOL, V11, P1; Solis Angel, 2002, Giornale Italiano di Entomologia, V10, P1; Stokstad E, 2004, SCIENCE, V305, P1230; Taboada-Verona Carlos, 2019, Check List, V15, P579, DOI 10.15560/15.4.579; Tonelli M, 2018, BIODIVERS CONSERV, V27, P189, DOI 10.1007/s10531-017-1428-3; Tovar Hernando L, 2016, Actu Biol, V38, P157, DOI [10.17533/udea.acbi.v37n105a03, 10.17533/udea.acbi.v38n105a03]; Wallace MG, 2005, COLEOPTS BULL, V59, P400, DOI 10.1649/748.1; WHITTAKER RH, 1965, SCIENCE, V147, P250, DOI 10.1126/science.147.3655.250</t>
  </si>
  <si>
    <t>Univ Nacional Mayor de San Marcos, Faculty  Biological Sciences</t>
  </si>
  <si>
    <t>Lima</t>
  </si>
  <si>
    <t>Ciudad Univ San Marcos,Av Carlos German Amezaga #375, Cercado, Lima, Cercado, PERU</t>
  </si>
  <si>
    <t>1561-0837</t>
  </si>
  <si>
    <t>1727-9933</t>
  </si>
  <si>
    <t>REV PERUANA BIOL</t>
  </si>
  <si>
    <t>Rev. Peruana Biol.</t>
  </si>
  <si>
    <t>e20887</t>
  </si>
  <si>
    <t>10.15381/rpb.v29i1.20887</t>
  </si>
  <si>
    <t>ZX7LV</t>
  </si>
  <si>
    <t>WOS:000772076300001</t>
  </si>
  <si>
    <t>Lopez-Lopez, W; Ossa, JC; Cudina, JN; Bustamante, MCA; Torres, M; Acevedo-Triana, C; Salas, G</t>
  </si>
  <si>
    <t>Lopez-Lopez, Wilson; Cesar Ossa, Julio; Nikola Cudina, Jean; Aguilar Bustamante, Maria Constanza; Torres, Michelle; Acevedo-Triana, Cesar; Salas, Gonzalo</t>
  </si>
  <si>
    <t>Analysis of production and collaboration networks in doctoral programs in psychology in Colombia</t>
  </si>
  <si>
    <t>ACTA COLOMBIANA DE PSICOLOGIA</t>
  </si>
  <si>
    <t>academic production; doctoral training programs; Colombia</t>
  </si>
  <si>
    <t>IBERO-AMERICAN PSYCHOLOGY; SCIENTIFIC PRODUCTION; IMPACT PAPERS; JOURNALS; PUBLICATION; CHALLENGES; VISIBILITY; HISTORY; INTERNATIONALIZATION; BIBLIOMETRICS</t>
  </si>
  <si>
    <t>The objective of doctoral training is the generation and dissemination of new knowledge; however, it is not clear how doctoral programs in Colombia relate to this type of production. Based on this, this study presents the general panorama of academic production across Colombian higher education institutions that offer doctoral training programs in psychology. The academic production was obtained from the Scopus database in a sample of 13 universities. After this search, 1345 documents were found with which an analysis was made regarding productivity indicators and the collaboration networks within the discipline in the country were identified. Subsequently, this information was contrasted with the national information registered in the Latin American and Caribbean Curriculum Vitae system (CvLAC) of 193 professors associated with the universities offering doctoral programs. As a result, when comparing national and international academic production, a greater correlation is found between the supervision of graduate theses and publication in national journals. In this sense, it is found that the impact of doctoral training on the generation of new knowledge is relative and has a limited scope, being mainly national journals the means of dissemination of this knowledge. It is recommended to evaluate the impact of products associated with postgraduate training and international visibility, with emphasis on indexed journals in international databases.</t>
  </si>
  <si>
    <t>[Lopez-Lopez, Wilson] Pontificia Univ Javeriana, Cra 5 39-00,Piso 2,Edificio Manuel Briceno, Bogota, Colombia; [Cesar Ossa, Julio] Fdn Univ Popayan, Popayan, Colombia; [Nikola Cudina, Jean] Fdn Univ Lumen Gentium, Cali, Colombia; [Aguilar Bustamante, Maria Constanza] Univ Catolica Colombia, Bogota, Colombia; [Torres, Michelle; Acevedo-Triana, Cesar] Univ Pedag &amp; Tecnol Colombia, Tunja, Boyaca, Colombia; [Salas, Gonzalo] Univ Catolica Maule, Talca, Chile</t>
  </si>
  <si>
    <t>Pontificia Universidad Javeriana; Universidad Pedagogica y Tecnologica de Colombia (UPTC); Universidad Catolica del Maule</t>
  </si>
  <si>
    <t>Lopez-Lopez, W (corresponding author), Pontificia Univ Javeriana, Cra 5 39-00,Piso 2,Edificio Manuel Briceno, Bogota, Colombia.</t>
  </si>
  <si>
    <t>lopezw@javeriana.edu.co</t>
  </si>
  <si>
    <t>AGUILAR BUSTAMANTE, MARIA CONSTANZA/GZH-1036-2022; Salas, Gonzalo/AAD-4907-2019; Ossa, Julio Cesar/ABT-8122-2022</t>
  </si>
  <si>
    <t>AGUILAR BUSTAMANTE, MARIA CONSTANZA/0000-0003-2990-9667; Ossa, Julio Cesar/0000-0002-3079-3318; Lopez-Lopez, Wilson/0000-0002-2964-0402; Salas, Gonzalo/0000-0003-0707-8188; Cudina, Jean Nikola/0000-0003-4004-7615; Acevedo-Triana, Cesar/0000-0002-1296-9957</t>
  </si>
  <si>
    <t>Abdill RJ, 2020, ELIFE, V9, DOI 10.7554/eLife.58496; Abramo G, 2011, J INFORMETR, V5, P659, DOI 10.1016/j.joi.2011.06.004; Acevedo-Triana C, 2018, REV LAT AM PSICOL, V50, P145, DOI 10.14349/rlp.2018.v50.n3.2; Aguado-Lopez E., 2017, REV INTERAMERICANA P, V51, P268; Aguado-Lopez E, 2016, UNIV PSYCHOL, V15, DOI 10.11144/Javeriana.upsy15-2.upci; Aguado-Lopez E, 2009, CONVERGENCIA, V16, P225; Aguilar Bustamante M. C., 2018, DIVERSITAS PERSP PSI, V14, P11; Aguilar-Bustamante María Constanza, 2018, Divers.: Perspect. Psicol., V14, P163, DOI 10.15332/s1794-9998.2018.0001.12; Alperin J. P., 2015, THE WINNOWER, DOI [10.15200/winn.143982.27959, DOI 10.15200/WINN.143982.27959]; Alperin Juan Pablo, 2017, Rev. Interam. Bibliot, V40, P231, DOI 10.17533/udea.rib.v40n3a04; Alperin JP, 2015, ASLIB J INFORM MANAG, V67, P289, DOI 10.1108/AJIM-12-2014-0176; Alperin JP, 2014, NATURE, V511, P155, DOI 10.1038/511155c; Ana J, 2013, PLOS MED, V10, DOI 10.1371/journal.pmed.1001315; Orozco LA, 2013, COLCIENCIAS CUARENTA ANOS: ENTRE LA LEGITIMIDAD, LA NORMATIVIDAD Y LA PRACTICA, P635; Ardila R., 2019, HIST PSICOLOGIA COLO, V2; Armayones M, 2015, PAPEL PSICOL, V36, P153; Avila-Toscano J. H., 2020, AV PSICOL LATINOAM, V38, P1, DOI [10.12804/revistas.urosario.edu.co/apl/a.8133, DOI 10.12804/REVISTAS.UROSARIO.EDU.CO/APL/A.8133]; Avila-Toscano J. H., 2019, REV GEN INFORMA CION, V29, P209; Ayodele FO, 2019, SCI ENG ETHICS, V25, P357, DOI 10.1007/s11948-017-9941-z; Bajwa NU, 2019, SCIENTOMETRICS, V120, P1147, DOI 10.1007/s11192-019-03180-2; Banco Mundial, 2021, DAT LIBR ACC BANC MU; Chacon JWB, 2013, INVESTIG BIBLIOTECOL, V27, P83; Bautista-Puig N, 2020, SCIENTOMETRICS, V124, P2551, DOI 10.1007/s11192-020-03546-x; Bornmann L., 2021, MAPPING IMPACT PAPER; Bozeman B, 2004, RES POLICY, V33, P599, DOI 10.1016/j.respol.2004.01.008; Brown P., 2001, HIGH SKILLS GLOBALIZ; Bucheli V, 2012, SCIENTOMETRICS, V91, P369, DOI 10.1007/s11192-012-0627-7; Bustos-Gonzalez A, 2019, PROF INFORM, V28, DOI 10.3145/epi.2019.jul.22; CALDERÓN-PRADA SERGIO, 2012, Rev. colomb. psicol., V21, P125; Carlsson B, 2006, RES POLICY, V35, P56, DOI 10.1016/j.respol.2005.08.003; Chavarro D., 2010, INVESTIGACION UNIAND, P107; Confalonieri Linda, 2012, ISRN Neurol, V2012, P613595, DOI 10.5402/2012/613595; Cronin B, 2001, J AM SOC INF SCI TEC, V52, P558, DOI 10.1002/asi.1097; Cudina J. N., 2017, REV INTERAMERICANA P, V51, P282; De-Moya-Anegon F., 2011, PRODUCCION CIENTIFIC; Di Bitetti MS, 2017, AMBIO, V46, P121, DOI 10.1007/s13280-016-0820-7; Fernandez MT, 1998, INTERCIENCIA, V23, P328; Forero DA, 2020, INT J NEUROSCI, V130, P398, DOI 10.1080/00207454.2019.1692837; Franco-Suarez O, 2017, PSIENCIA-REV LATINOA, V9, DOI 10.5872/psiencia/9.4.22; Frenken K., 2002, ECON SYST RES, V14, P345, DOI [10.1080/0953531022000024833, DOI 10.1080/0953531022000024833]; Gallegos M, 2020, INTERDISCIPLINARIA, V37, P95, DOI 10.16888/interd.2020.37.2.6; Gallegos Miguel, 2014, Psicoperspectivas, V13, P106, DOI 10.5027/psicoperspectivas-Vol13-Issue3-fulltext-377; Garcia A, 2017, DIVERSITAS-PERSP PSI, V13, P113, DOI [10.15332/s1794-9998.2017.0001.9, 10.15332/s1794-9998.2017.0001.09]; Garcia Agnaldo, 2015, Psykhe, V24, P1, DOI 10.7764/psykhe.24.2.765; Garcia A, 2014, TER PSICOL, V32, P165; GARFIELD E, 1992, CURR CONTENTS, V41, P5; Giraldo B., 2000, SUMA PSICOL, V7, P275; Glanzel W, 2001, SCIENTOMETRICS, V51, P69, DOI 10.1023/A:1010512628145; Godin B, 2000, RES POLICY, V29, P273, DOI 10.1016/S0048-7333(99)00065-7; Gómez Campo Víctor Manuel, 2009, rev.estud.soc., P106; GÓMEZ MORALES YURI JACK, 2012, Rev. colomb. psicol., V21, P97; Gómez-Morales Yuri Jack, 2017, Rev. colomb. antropol., V53, P15; Sala FG, 2017, SCIENTOMETRICS, V112, P1069, DOI 10.1007/s11192-017-2372-4; Gonzalez-Zabala M. P., 2017, REV VIRTUAL UNIV CAT, V38, P23; Graddy-Reed A, 2021, RES POLICY, V50, DOI 10.1016/j.respol.2021.104224; Guerrero J, 2009, PRODUCCION CIENTIFIC; Gutierrez G., 2018, PSYCHOL LATIN AM, P7, DOI [10.1007/978-3-319-93569-0_2, DOI 10.1007/978-3-319-93569-0_2]; Harzing AW, 2008, EUR J INT MANAG, V2, P115, DOI 10.1504/EJIM.2008.017763; Hayes N, 1996, EUR PSYCHOL, V1, P130, DOI 10.1027/1016-9040.1.2.130; Avila-Toscano JH, 2014, AV PSICOL LATINOAM, V32, P167, DOI 10.12804/apl32.1.2014.12; Horta H, 2018, STUD HIGH EDUC, V43, P542, DOI 10.1080/03075079.2016.1185406; Jaraba-Barrios B, 2011, AV PSICOL LATINOAM, V29, P354; Jonkers K, 2008, SCIENTOMETRICS, V77, P309, DOI 10.1007/s11192-007-1971-x; Kamler B, 2008, STUD HIGH EDUC, V33, P283, DOI 10.1080/03075070802049236; Klappenbach H, 2015, UNIV PSYCHOL, V14, P937, DOI 10.11144/Javeriana.upsy14-3.fupa; Krabel S, 2012, J TECHNOL TRANSFER, V37, P192, DOI 10.1007/s10961-010-9182-7; Krampen G, 2008, SCIENTOMETRICS, V76, P3, DOI 10.1007/s11192-007-1900-z; Lafont P, 2014, PROCD SOC BEHV, V116, P570, DOI 10.1016/j.sbspro.2014.01.259; Liberatore G., 2008, REV INTERAM PSICOL, V42, P507; Lopez WL, 2021, PAPEL PSICOL, V42, P67, DOI 10.23923/pap.psicol2021.2951; Lopez WL, 2019, UNIV PSYCHOL, V18, DOI 10.11144/Javeriana.upsy18-1.ccpp; López López Wilson, 2018, Univ. Psychol., V17, P1; LÓPEZ LÓPEZ WILSON, 2010, Act.Colom.Psicol., V13, P35; Lopez-Lopez W., 2018, TEACHING PSYCHOL WOR, V4, P53; Lopez-Lopez W, 2020, UNIV PSYCHOL, V19, DOI 10.11144/Javeriana.upsy19.pchi; Lopez-Lopez W, 2019, UNIV PSYCHOL, V18, DOI 10.11144/Javeriana.upsy18-4.ecal; Lopez-Lopez W, 2015, PSICOL-REFLEX CRIT, V28, P72, DOI 10.1590/1678-7153.20152840011; LUUKKONEN T, 1992, SCI TECHNOL HUM VAL, V17, P101, DOI 10.1177/016224399201700106; Rivera-Garzon DM, 2008, UNIV PSYCHOL, V7, P917; Alzate-Medina GM, 2008, UNIV PSYCHOL, V7, P425; Benavente JM, 2012, RES POLICY, V41, P1461, DOI 10.1016/j.respol.2012.04.007; Miguel S, 2012, INFORM RES, V17; Minciencias, 2017, PROGR COL CIENT AP D; Minciencias, 2021, CONV FOND CIENC TECN; Minciencias, 2021, OBJ PROGR FORM ALT N; Ministerio de Educacion, 2019, SIST AS CAL ED SUP; Cudina JN, 2016, INFORM SOC-ESTUD, V26, P137; Ossa J. C., 2016, REV GUILLERMO OCKHAM, V14, P7, DOI [10.21500/22563202.2720, DOI 10.21500/22563202.2720]; Otte E, 2002, J INF SCI, V28, P441, DOI 10.1177/016555150202800601; Packalen M, 2020, P NATL ACAD SCI USA, V117, P12011, DOI 10.1073/pnas.1910160117; Pena-Correal T., 1993, HIST SOCIAL CIENCIA, P95; Piwowar H, 2018, PEERJ, V6, DOI 10.7717/peerj.4375; Polanco F. A., 2018, INTERAM J PSYCHOL, V51, P297, DOI [10.30849/rip/ijp.v51i3.910, DOI 10.30849/RIP/IJP.V51I3.910]; Polanco-Carrasco R, 2017, TER PSICOL, V35, P81; PUCHE-NAVARRO REBECA, 2012, Rev. colomb. psicol., V21, P79; Ravelo-Contreras EL, 2020, ACTA COLOMB PSICOL, V23, P188, DOI [10.14718/acp.2020.23.2.8, 10.14718/ACP.2020.23.2.8]; revistas.usantotomas, IND PHP DIV ART VIEW; Robayo-Castro B, 2016, UNIV PSYCHOL, V15, DOI 10.11144/Javeriana.upsy15-5.icpa; Romero-Torres M, 2013, REV ESP DOC CIENT, V36, DOI 10.3989/redc.2013.1.876; Russell JM, 2008, REV ESP DOC CIENT, V30, P180, DOI [10.3989/redc.2007.v30.i2.378, DOI 10.3989/redc.2007.v30.i2.378]; Salas G, 2019, REV LAT AM PSICOL, V51, P123, DOI 10.14349/rlp.2019.v51.n2.7; Salazar-Acosta M., 2013, INFORM PRODUCCION CI, V1; Garcia-Martinez AT, 2012, UNIV PSYCHOL, V11, P699; Torka M, 2018, MINERVA, V56, P59, DOI 10.1007/s11024-018-9342-8; van Eck NJ, 2010, SCIENTOMETRICS, V84, P523, DOI 10.1007/s11192-009-0146-3; Vasconcelos S, 2009, EMBO REP, V10, P677, DOI 10.1038/embor.2009.134; Vasconcelos SMR, 2008, EMBO REP, V9, P700, DOI 10.1038/embor.2008.143; Velez-Cuartas G, 2014, REV ESP DOC CIENT, V37, DOI 10.3989/redc.2014.3.1133; Vera-Villarroel P, 2011, REV LAT AM PSICOL, V43, P95; Vessuri H, 2014, REV ESTUD SOC, P167, DOI 10.7440/res50.2014.16; WHITE MJ, 1977, AM PSYCHOL, V32, P301, DOI 10.1037/0003-066X.32.5.301</t>
  </si>
  <si>
    <t>0123-9155</t>
  </si>
  <si>
    <t>1909-9711</t>
  </si>
  <si>
    <t>ACTA COLOMB PSICOL</t>
  </si>
  <si>
    <t>Acta Colomb. Psicol.</t>
  </si>
  <si>
    <t>10.14718/ACP.2022.25.1.11</t>
  </si>
  <si>
    <t>Psychology, Clinical</t>
  </si>
  <si>
    <t>1P7KG</t>
  </si>
  <si>
    <t>WOS:000802183200010</t>
  </si>
  <si>
    <t>Larrota-Forerol, RA; Gonzalez-Sanabria, JS; Sarmiento-Rojas, JA</t>
  </si>
  <si>
    <t>Larrota-Forerol, Rafael-Andros; Gonzalez-Sanabria, Juan-Sebastian; Sarmiento-Rojas, Jorge-Andros</t>
  </si>
  <si>
    <t>Proposal for the Implementation of Crowdmapping for the Recognition of Social Housing in Urban City Councils</t>
  </si>
  <si>
    <t>collaborative map; collaborative platforms; crowdmapping; crowdsourcing; geolocation; workflow</t>
  </si>
  <si>
    <t>Presents a study of crowdmapping as a practice for collaborative mapping in information management in order to make a proposal for the implementation of Crowdmapping within the process of recognition of Social Interest Housing (VIS) carried out by urban curatorships as an alternative in the optimization of internal management processes. For this purpose, a review of the process and data management model of three pioneering and current collaborative platforms in this practice was carried out. The crowdmapping workflow was analyzed and it was integrated into the recognition process to be implemented using a collaborative platform. The design of tasks, assignment of roles and strategies for data collection were key elements within the workflow in order to develop participatory capabilities in the community and have a shared management with quality. The outcome was a Crowdsourced collaborative map that provides relevant information to officials and administrators of the curatorial offices in the stages of achieving VIS recognition.</t>
  </si>
  <si>
    <t>[Gonzalez-Sanabria, Juan-Sebastian; Sarmiento-Rojas, Jorge-Andros] Univ Pedagog &amp; Tecnol Colombia, Tunja Boyaca, Colombia</t>
  </si>
  <si>
    <t>Gonzalez-Sanabria, JS (corresponding author), Univ Pedagog &amp; Tecnol Colombia, Tunja Boyaca, Colombia.</t>
  </si>
  <si>
    <t>juansebastian.gonzalez@uptc.edu.co; jorge.sarmiento02@uptc.edu.co</t>
  </si>
  <si>
    <t>Andrey A., 2021, THESIS; de Filippi F., 2018, TECHNOLOGIES DEV, P127, DOI [10.1007/978-3-319-91068-0_11, DOI 10.1007/978-3-319-91068-0_11]; de Jesus B., 2011, CES DERECHO, V2, P1; Dittus M., 2017, THESIS U COLL LONDON; Estelles-Arolas E, 2012, J INF SCI, V38, P189, DOI 10.1177/0165551512437638; Goodchild MF, 2007, INT J SPAT DATA INFR, V2, P24; Howe J., 2006, WIRED; Martinez R., 2016, REV LATINOAMERICANA, V4, P175; Mezzacapo U., 2022, REV FACULTAD INGENIE, V31, DOI [10.6092/unibo/amsdottorato/8223, DOI 10.6092/UNIBO/AMSDOTTORATO/8223]; Pinilla Guerrero K. V., 2017, REV GEOGRAFIA, V34, P2014; Sandoval-Martin T, 2016, PROF INFORM, V25, P458, DOI 10.3145/epi.2016.may.16; van Alphen G., 2020, THESIS DELFT U TECHN; Zurbriggen C, 2014, REV GEST PUBLICA, V3, P329</t>
  </si>
  <si>
    <t>e15319</t>
  </si>
  <si>
    <t>10.19053/01211129.v31.n62.2022.15319</t>
  </si>
  <si>
    <t>6P9IQ</t>
  </si>
  <si>
    <t>WOS:000891238100001</t>
  </si>
  <si>
    <t>Pacavita, OSM; Gonzalez, MCL</t>
  </si>
  <si>
    <t>Morales Pacavita, Olga Sofia; Leguizamon Gonzalez, Myriam Cecilia</t>
  </si>
  <si>
    <t>Review of documented reflections on ICT in pedagogical practices: current dissertations in times of pandemic</t>
  </si>
  <si>
    <t>ACADEMIA Y VIRTUALIDAD</t>
  </si>
  <si>
    <t>pedagogical practice; ICT; teacher training</t>
  </si>
  <si>
    <t>INFORMATION; TEACHERS; THINK</t>
  </si>
  <si>
    <t>the article presents the results of the literature review carried out for two research projects, where contributions on pedagogical practice and ICT during the last twenty years become valid in the pandemic situation. Methodologically, articles on the first category are collected based in the corpus found in databases. In the case of the ICT category, the review of Colombian journals indexed in the year 2020 has been resumed. After a qualitative analysis of the content in the NVivo software, trends emerged that allowed for an account of the advances in practices with ICT and the demands for its use. It can be concluded that, above other considerations, the use of technology in education is convenient, and it is evident that its use has not been postponed in all cases. Without knowing the side effects, they can be minimized with good practices and teacher training.</t>
  </si>
  <si>
    <t>[Morales Pacavita, Olga Sofia] Univ Pedagog &amp; Tecnol Colombia, Tunja, Colombia; [Leguizamon Gonzalez, Myriam Cecilia] Univ Pedagog &amp; Tecnol Colombia, Planta, Tunja, Colombia</t>
  </si>
  <si>
    <t>Pacavita, OSM (corresponding author), Univ Pedagog &amp; Tecnol Colombia, Tunja, Colombia.</t>
  </si>
  <si>
    <t>olgasofia.morales@uptc.edu.co; myriam.leguizamon@uptc.edu.co</t>
  </si>
  <si>
    <t>Agudelo M., 2012, THESIS U TECNOLOGICA; Arenas J. C., 2015, REV EDUCACION CIUDAD, P199, DOI [10.36737/01230425.v.n29.2015.18, DOI 10.36737/01230425.V.N29.2015.18]; Berdugo P. D., 2018, REV COLOMBIANA TECNO, V1, P160; Borgobello Ana, 2018, Educ. Educ., V21, P27, DOI 10.5294/edu.2018.21.1.2; Castillo H, 2016, REV CIEGC, P35; Contreras M., 2012, REV DIGITAL HIST EDU, P197; Diaz-Quero V., 2006, LAURUS, V12, P88; Echeverri Álvarez Juan Carlos, 2013, Hist. Educ., V17, P153; Espinosa R. E., 2019, REV CIENT-COLOMBIA, V34, P101, DOI [10.14483/23448350.13442, DOI 10.14483/23448350.13442]; Fernandez Y. T, 2012, DIDACTICA EDUCACION, V3, P99; Figueroa Claudia, 2016, Rev.hist.educ.latinoam., V18, P157, DOI 10.19053/01227238.4370; Gómez Ortiz Luis Guillermo, 2013, Rev. Fac. Cienc. Tecnol., P123; Gonzalez A. S, PRACTICAS PRAXIS TRA; González-Lerma Lucy, 2020, Prax. Saber, V11, P227, DOI 10.19053/22160159.v11.n25.2020.9075; Hernandez R, 2012, ATENAS REV CIENTIFIC, V2, P1; Jurado Valencia Fabio, 2016, Pedagogía y Saberes, P11; Lacombe V. E., 2011, EDUCACION HUMANISMO, V13, P191; Langebaek Carl Henrik, 2005, rev.estud.soc., P7; Latorre Navarro Marisol, 2004, Estud. pedagóg., P75; Leal L. K, 2014, REV LATINOAMERICANA, V10, P11; Leal-Urueña Linda Alejandra, 2018, Rev. Fac. Cienc. Tecnol., P15; Lopez de Parra L., 2017, REV VIRTUAL UNIV CAT, V50, P256; Marceles de Sanz R, 2010, REV EDUCACION HUMANI, V12, P129; Mercado C. E, 2003, TIEMPO DE EDUCAR, V4, P121; Pacavita OSM, 2018, PRAX SABER, V9, P161, DOI 10.19053/22160159.v9.n19.2018.7926; Moreno E. A., 2017, REV ARTES HUMANIDADE, V16, P105, DOI [10.17227/01234870.16folios105.129, DOI 10.17227/01234870.16FOLIOS105.129]; Munoz R. H., 2016, PRAX SABER, V7, P119, DOI [10.19053/22160159.4172, DOI 10.19053/22160159.4172]; Ñáñez-Rodríguez José Julián, 2019, Revista Investig. Desarro. Innov., V10, P107, DOI 10.19053/20278306.v10.n1.2019.10015; Ordóñez Claudia Lucía, 2004, rev.estud.soc., P7; Palmas-Pérez Santiago, 2018, Rev. colomb. educ., P109; Pantoja S. P., 2016, PALABRA, P160, DOI [10.32997/2346-2884-vol.16-num.16-2016-1434, DOI 10.32997/2346-2884-VOL.16-NUM.16-2016-1434]; Patiño-Garzón Luceli, 2009, Educ. Educ., V12, P93; Pere N, 2017, PRAX SABER, V8, P15, DOI 10.19053/22160159.v8.n16.2017.6165; Poveda Aguja F. A., 2014, REV VIRTUAL UNIV CAT, V43, P161; Prada Nunez R., 2019, REV VIRTUAL UNIV CAT, V57, P137, DOI [10.35575/rvucn.n57a10, DOI 10.35575/RVUCN.N57A10]; Rodrigues A., 2020, CURRICULO NARRATIVO, DOI [10.19053/22160159.v11.n25.2020.9582, DOI 10.19053/22160159.V11.N25.2020.9582]; Rodrigues Telles-Almeida Joao Gabriel, 2021, Rev. colomb. educ., P249, DOI 10.17227/rce.num81-10924; Rodriguez J. G., 2004, REV COLOMB EDUC, V46, P186; Rogero J, 2020, FICCION ED TIEMPOS C; Romero J. M, 2012, REV INT INVESTIGACIO, V4, P653; Roncancio P. N., 2012, REV IBEROAMERICANA H, V14, P119; Rozo Sandoval A. C, 2013, REV ED PEDAGOGIA, V24, P191; Saavedra Bautista C. E., 2018, REV VIRTUAL UNIV CAT, P2; Saker G. J., 2013, EDUCACION HUMANISMO, V16, P83; Saldarriaga Velez Oscar, 2016, MEM SOC, V20, DOI [10.11144/Javeriana.mys20-41.eedn, DOI 10.11144/JAVERIANA.MYS20-41.EEDN]; Sanabria Rodríguez Lui, 2014, Rev. colomb. educ., P147; Gonzalez HS, 2015, COLOMB APPL LINGUIST, V17, P290, DOI 10.14483/udistrital.jour.calj.2015.2.a08; Santillan F, 2010, EDUCACION HUMANISMO, V12, P46; Taborda C. J, 2012, REV LATINOAMERICANA, V8, P171; Zambrano A., 2019, REV LATINOAMERICANA, V15, P11</t>
  </si>
  <si>
    <t>2011-0731</t>
  </si>
  <si>
    <t>ACAD VIRTUALIDAD</t>
  </si>
  <si>
    <t>Acad. Virtualidad</t>
  </si>
  <si>
    <t>10.18359/ravi.5728</t>
  </si>
  <si>
    <t>8O4PI</t>
  </si>
  <si>
    <t>WOS:000925817200005</t>
  </si>
  <si>
    <t>Gonzalez-Sanabria, JS; Ramos-Corredor, FN; Amezquita-Becerra, G</t>
  </si>
  <si>
    <t>Gonzalez-Sanabria, Juan-Sebastian; Ramos-Corredor, Fabian-Nicolas; Amezquita-Becerra, German</t>
  </si>
  <si>
    <t>Automation Tool for Institutional Repositories Evaluation</t>
  </si>
  <si>
    <t>evaluation; institutional repositories; process automation; software development</t>
  </si>
  <si>
    <t>The rise of digital repositories has framed a significant advance in access to academic and scientific knowledge, increasing its impact due to greater reach and lower cost. However, these platforms are a new topic that initially did not have standards or models to carry out their implementation and operation, which is why there were inconsistencies between repositories on issues such as interoperability, digital preservation, among others. Due to the lack of standardization and the exponential increase in the number of repositories, different organizations and researchers made multiple proposals to standardize the processes and characteristics of these platforms. The proposals materialized in models, such as the Dublin Core and DataCite metadata schemes, and in guides for the evaluation and implementation of repositories, such as the Guide for the evaluation of institutional research repositories by RECOLECTA or the DINI certificate (Deutsche Initiative fur Netzwerk Information). The latter aim to evaluate the platforms in their entirety, including 8 sections with a total of 87 elements. Therefore, in this research an application was developed to automate the evaluation of repositories, automating processes that improve educational work using computer tools and their integration.</t>
  </si>
  <si>
    <t>[Gonzalez-Sanabria, Juan-Sebastian; Ramos-Corredor, Fabian-Nicolas; Amezquita-Becerra, German] Univ Pedagog &amp; Tecnol Colombia, Tunja Boyaca, Colombia</t>
  </si>
  <si>
    <t>juansebastian.gonzalez@uptc.edu.co; fabian.ramos01@uptc.edu.co; german.amezquita@uptc.edu.co</t>
  </si>
  <si>
    <t>Gonzalez-Sanabria, Juan-Sebastian/0000-0002-1024-6077</t>
  </si>
  <si>
    <t>Azorin C., 2021, GUIA EVALUACION REPO; Bibliotheksverband e. V, WISS UN ZKI ZENTR 4; Bolanos Asenjo M. A., 2012, ACCESIBILIDAD WEB RE; Budapest open access initiative, 2002, US; DataCite Metadata Working Group, 2021, DATACITE MET SCHEM D; Escire, DPYX HERR AUT SIST I; Gonzalez Diaz C., 2015, ANTECEDENTES ESTADO; Grupo de trabajo, 2012, CERTIFICADO DINI SER; Jisc, OPENDOAR STAT; OpenAIRE, DIR OPENAIRE ADM REP; Red Nacional de Repositorios Digitales de Ciencia Tecnologia e Innovacion de Acceso Abierto (RENARE), 2020, GUIA AL 2 0; SoftServe, MOD 7 ACC DOM JAVASC; Vanderfeesten M., 2008, DIRECTRICES DRIVER 2</t>
  </si>
  <si>
    <t>e14724</t>
  </si>
  <si>
    <t>10.19053/01211129.v31.n61.2022.14724</t>
  </si>
  <si>
    <t>3S3XK</t>
  </si>
  <si>
    <t>WOS:000839532300001</t>
  </si>
  <si>
    <t>Medina-Jaramillo, C; Usgame-Fagua, K; Franco-Gonzalez, N; Lopez-Cordoba, A</t>
  </si>
  <si>
    <t>Medina-Jaramillo, Carolina; Usgame-Fagua, Karen; Franco-Gonzalez, Nelson; Lopez-Cordoba, Alex</t>
  </si>
  <si>
    <t>Single and Combined Effect of Mild-Heat Treatment and Alginate Coatings on Quality Preservation of Minimally Processed Bunching Green Onions</t>
  </si>
  <si>
    <t>food loss and waste; food preservation; hurdle technology; minimal processing</t>
  </si>
  <si>
    <t>ANTIOXIDANT ACTIVITY; EDIBLE COATINGS; FILMS; TEXTURE; FRUITS; SHOCKS; L.</t>
  </si>
  <si>
    <t>Bunching green onion is an Allium species that has been widely used in food flavorings and seasonings. This vegetable experiences a rapid loss of quality during storage due to physiological changes and microbial spoilage. In the current work, the single and combined effect of mild-heat treatment (55 degrees C for 60 s) and alginate edible coatings on the quality preservation of minimally processed bunching green onions was studied. Control and treated samples were stored at 4 degrees C for 15 days and examined periodically in terms of their respiration rate, weight loss, pH, soluble solids content, firmness, total polyphenol content, antioxidant activity, microbial count, decay ratio, and overall visual quality. The results showed that the combination of mild heat and alginate edible coatings was the most effective approach to slow down the respiration rate and the incidence of decay in the minimally processed bunching green onions. In addition, the treatments with alginate coating alone or combined with mild-heat treatment showed the best performance for maintaining the overall visual quality of the products during the storage.</t>
  </si>
  <si>
    <t>[Medina-Jaramillo, Carolina; Usgame-Fagua, Karen; Franco-Gonzalez, Nelson; Lopez-Cordoba, Alex] Univ Pedagog &amp; Tecnol Colombia, Fac Secc Duitama, Grp Invest Bioecon &amp; Sostenibilidad Agroalimentar, Escuela Adm Empresas Agropecuarias, Carrera 18 Con Calle 22, Duitama 150461, Colombia</t>
  </si>
  <si>
    <t>Lopez-Cordoba, A (corresponding author), Univ Pedagog &amp; Tecnol Colombia, Fac Secc Duitama, Grp Invest Bioecon &amp; Sostenibilidad Agroalimentar, Escuela Adm Empresas Agropecuarias, Carrera 18 Con Calle 22, Duitama 150461, Colombia.</t>
  </si>
  <si>
    <t>alex.lopez01@uptc.edu.co; alex.lopez01@uptc.edu.co; alex.lopez01@uptc.edu.co; alex.lopez01@uptc.edu.co</t>
  </si>
  <si>
    <t>López-Córdoba, Alex/0000-0003-2434-5743; Medina-Jaramillo, Carolina/0000-0003-0623-912X</t>
  </si>
  <si>
    <t>Minciencias; Gobernacion de Boyaca through the PATRIMONIO AUTONOMO FONDO NACIONAL DE FINANCIAMIENTO PARA LA CIENCIA, LA TECNOLOGIA Y LA INNOVACION FRANCISCO JOSE DE CALDAS [75550]</t>
  </si>
  <si>
    <t>Minciencias; Gobernacion de Boyaca through the PATRIMONIO AUTONOMO FONDO NACIONAL DE FINANCIAMIENTO PARA LA CIENCIA, LA TECNOLOGIA Y LA INNOVACION FRANCISCO JOSE DE CALDAS</t>
  </si>
  <si>
    <t>Alharaty G, 2020, J COMPOS SCI, V4, DOI 10.3390/jcs4030123; Alvarez M.V., 2015, WOODHEAD PUBLISHING, P287; Andres-Bello A, 2013, FOOD ENG REV, V5, P158, DOI 10.1007/s12393-013-9067-2; [Anonymous], 2008, 2152722008 ISO; [Anonymous], 2013, 48332013 ISO; Ansorena MR, 2011, POSTHARVEST BIOL TEC, V59, P53, DOI 10.1016/j.postharvbio.2010.08.011; Ben-Fadhel Y, 2021, FOOD PACKAGING SHELF, V28, DOI 10.1016/j.fpsl.2021.100635; Botondi R, 2021, FOODS, V10, DOI 10.3390/foods10040748; BRAND-WILLIAMS W, 1995, FOOD SCI TECHNOL-LEB, V28, P25; Cantwell MI, 2001, HORTSCIENCE, V36, P732, DOI 10.21273/HORTSCI.36.4.732; De Corato U, 2020, CRIT REV FOOD SCI, V60, P940, DOI 10.1080/10408398.2018.1553025; Estevez-Areco S, 2019, FOOD HYDROCOLLOID, V96, P518, DOI 10.1016/j.foodhyd.2019.05.054; Fallik E., 2018, NOVEL POSTHARVEST TR, P231; Giannakourou MC, 2021, FOODS, V10, DOI 10.3390/foods10040830; Grzegorzewska M, 2022, SCI HORTIC-AMSTERDAM, V291, DOI 10.1016/j.scienta.2021.110551; Han C, 2016, SCI HORTIC-AMSTERDAM, V212, P203, DOI 10.1016/j.scienta.2016.10.004; Hong G, 2000, POSTHARVEST BIOL TEC, V20, P53, DOI 10.1016/S0925-5214(00)00112-5; Hong SI, 2004, INT J FOOD SCI TECH, V39, P1033, DOI 10.1111/j.1365-2621.2004.00885.x; HOWARD LR, 1994, J FOOD SCI, V59, P110, DOI 10.1111/j.1365-2621.1994.tb06909.x; Jayakody MM, 2022, J FOOD MEAS CHARACT, V16, P1195, DOI 10.1007/s11694-021-01277-y; Khan MR, 2021, FOOD PACKAGING SHELF, V30, DOI 10.1016/j.fpsl.2021.100752; Kocira A, 2021, AGRONOMY-BASEL, V11, DOI 10.3390/agronomy11050813; Koh PC, 2018, J FOOD PROCESS PRES, V42, DOI 10.1111/jfpp.13786; Kubec R, 2004, J AGR FOOD CHEM, V52, P5089, DOI 10.1021/jf0497455; Kumar N, 2021, LWT-FOOD SCI TECHNOL, V138, DOI 10.1016/j.lwt.2020.110435; Kurnia D, 2021, MOLECULES, V26, DOI 10.3390/molecules26237175; Lwin W, 2013, AGR SCI J, V3, P269; Mahajan PV, 2014, PHILOS T R SOC A, V372, DOI 10.1098/rsta.2013.0309; Robles-Sanchez RM, 2013, LWT-FOOD SCI TECHNOL, V50, P240, DOI 10.1016/j.lwt.2012.05.021; Mcglynn W., 2003, FOOD TECHNOLOGY FACT, P1; Medina-Jaramillo C, 2020, POLYMERS-BASEL, V12, DOI 10.3390/polym12102352; Medina-Jaramillo C, 2020, POLYMERS-BASEL, V12, DOI 10.3390/polym12040824; Medina-Jaramillo C, 2019, POLYMERS-BASEL, V11, DOI 10.3390/polym11121937; Mitelut AC, 2021, FOODS, V10, DOI 10.3390/foods10112821; Moreira MD, 2011, J FOOD SCI, V76, pM367, DOI 10.1111/j.1750-3841.2011.02210.x; Moskowitz H.R., 2012, SENSORY CONSUMER RES, P229; Nair MS, 2020, INT J BIOL MACROMOL, V164, P304, DOI 10.1016/j.ijbiomac.2020.07.083; Pineros-Hernandez D, 2017, FOOD HYDROCOLLOID, V63, P488, DOI 10.1016/j.foodhyd.2016.09.034; Poverenov E, 2014, FOOD BIOPROCESS TECH, V7, P1424, DOI 10.1007/s11947-013-1134-4; Prakash A, 2020, LWT-FOOD SCI TECHNOL, V118, DOI 10.1016/j.lwt.2019.108851; Romanazzi G, 2018, FRONT MICROBIOL, V9, DOI 10.3389/fmicb.2018.02745; Rozo G, 2016, VITAE-COLUMBIA, V23, pS419; Sarengaowa, 2018, J SCI FOOD AGR, V98, P2302, DOI 10.1002/jsfa.8720; Senturk Parreidt T, 2018, FOODS, V7, DOI 10.3390/foods7100170; Siddiq M, 2013, FOOD CHEM, V136, P803, DOI 10.1016/j.foodchem.2012.09.023; Singleton VL, 1999, METHOD ENZYMOL, V299, P152; Testa R, 2021, SUSTAINABILITY-BASEL, V13, DOI 10.3390/su13031027; Tigu AB, 2021, MOLECULES, V26, DOI 10.3390/molecules26030574; Toivonen PMA, 2008, POSTHARVEST BIOL TEC, V48, P1, DOI 10.1016/j.postharvbio.2007.09.004; Wustenberg T, 2015, CELLULOSE AND CELLULOSE DERIVATIVES IN THE FOOD INDUSTRY: FUNDAMENTALS AND APPLICATIONS, P1; Xylia P, 2021, FOODS, V10, DOI 10.3390/foods10030575; Zapata PJ, 2010, ACTA HORTIC, V877, P1529, DOI 10.17660/ActaHortic.2010.877.210; Zhang LH, 2017, LWT-FOOD SCI TECHNOL, V82, P104, DOI 10.1016/j.lwt.2017.04.035; Zudaire L, 2020, FOOD SCI TECHNOL INT, V26, P403, DOI 10.1177/1082013219891007; Zudaire L, 2019, FOOD BIOPROCESS TECH, V12, P387, DOI 10.1007/s11947-018-2217-z; Zudaire L, 2018, LWT-FOOD SCI TECHNOL, V95, P339, DOI 10.1016/j.lwt.2018.05.005</t>
  </si>
  <si>
    <t>10.3390/foods11050641</t>
  </si>
  <si>
    <t>ZW5LQ</t>
  </si>
  <si>
    <t>WOS:000771254600001</t>
  </si>
  <si>
    <t>Laverde, JAM; Porras, OYP</t>
  </si>
  <si>
    <t>Moreno Laverde, Jhonny Alejandro; Patina Porras, Olga Yanneth</t>
  </si>
  <si>
    <t>Literary narratives as a tool in solving mathematical problems</t>
  </si>
  <si>
    <t>REIDOCREA-REVISTA EECTRONICA DE INVESTIGACION Y DOCENCIA CREATIVA</t>
  </si>
  <si>
    <t>Problem solving</t>
  </si>
  <si>
    <t>Reading, comprehension and interpretation are processes that are directly based on the construction of meaning and its application in life by the reader, that is, one of the concerns of teachers should be that their students understand what they read and thus awaken their interest to apply the knowledge acquired when solving problems of the mathematical environment. This article was approached with a qualitative approach under an action research design, where a series of phases were applied for the development of the strategy with the students. In the first place, a diagnostic test was applied that allowed to identify the strengths and difficulties that these presented in the interpretation and understanding of the statements, later a second phase was initiated, in this case using literary narratives in order to motivate students to the interest in reading and thus expand their vocabulary, level of comprehension and analysis of any text or statement to apply it in mathematical and communicative situations, to then improve performance in internal and external tests that involve this type of problem-solving situations.</t>
  </si>
  <si>
    <t>[Moreno Laverde, Jhonny Alejandro; Patina Porras, Olga Yanneth] Univ Pedagog &amp; Tecnol Colombia, Tunja, Boyaca, Colombia</t>
  </si>
  <si>
    <t>Laverde, JAM (corresponding author), Univ Pedagog &amp; Tecnol Colombia, Tunja, Boyaca, Colombia.</t>
  </si>
  <si>
    <t>[Anonymous], 2012, THESIS; Duran GG, 2013, ESCENARIOS, P38; Gutierrez-Braojos C, 2012, PROFESORADO, V16, P183; Hernandez R., 2014, METODOLOGIA INVESTIG, DOI DOI 10.17993/CCYLL.2018.15; Leguizamon J, 2015, ED MATEMATICA, P151; Marin F, 2012, THESIS; Moran E, 2013, 7 C IB ED MAT, P2400; OECD, 2020, PISA 2018 RES, VIII, P241, DOI [10.1787/ff99ab98-en, DOI 10.1787/FF99AB98-EN]; OECD, 2020, PISA 2018 RES, VII, DOI [10.1787/0c21fc23-en, DOI 10.1787/0C21FC23-EN]; Alonso LAP, 2016, PRAX SABER, V7, P219; Rodriguez D, 2013, RUBRICAS AVALUO RETR; Taylor SJ, 1984, INTRO METODOS INVEST</t>
  </si>
  <si>
    <t>UNIV GRANADA, FAC CIENCIAS EDUCACION</t>
  </si>
  <si>
    <t>CAMPUS UNIV CARTUJA S-N, GRANADA, 18071, SPAIN</t>
  </si>
  <si>
    <t>2254-5883</t>
  </si>
  <si>
    <t>REIDOCREA</t>
  </si>
  <si>
    <t>ReiDoCrea</t>
  </si>
  <si>
    <t>3N7GG</t>
  </si>
  <si>
    <t>WOS:000836312900001</t>
  </si>
  <si>
    <t>Romero-Hernandez, WA; Gonzalez-Sanabria, JS; Guiza-Pinzon, FD</t>
  </si>
  <si>
    <t>Romero-Hernandez, Wilmer-Andres; Gonzalez-Sanabria, Juan-Sebastian; Guiza-Pinzon, Fabian-David</t>
  </si>
  <si>
    <t>Collaborative Information Maps for the Delimitation of Properties, Bicycle Routes, and Tourist Sites in Tunja, Boyaca</t>
  </si>
  <si>
    <t>bicycle users; collective participation; crowd-mapping; data geolocation; land delimitation; touristic mapping</t>
  </si>
  <si>
    <t>New technologies and technological advances have contributed to a greater interaction with platforms such as crowdmapping, which allow people or organizations to have an information flow with which they can make contributions through collaborative maps. In order to understand its applications and uses, a systematic re-view was conducted on the application and importance of crowdmapping and its contribution to the creation of maps in different sectors or areas of society. From this review, the usefulness and efficiency of this type of mapping was determined regarding the delimitation of properties and bike routes, as well as the geolocation of tourist sites in Tunja (Boyaca), so that anyone acces-sing the maps could participate, appropriate the infor-mation, and contribute according to their interests. Said implementation makes its contribution people to know and be able to guide and provide relevant information to both citizens and tourists on the different routes for bicycle users or tourist sites in the city. In these cases, such information is provided by people who have li-ved the experience and want to share it, thus creating collaborative maps in real time. As for these maps, it is important to validate all the information in order for it to be completely real and for this type of platform to generate confidence for later implementation in other projects with a social aim.</t>
  </si>
  <si>
    <t>[Romero-Hernandez, Wilmer-Andres; Gonzalez-Sanabria, Juan-Sebastian; Guiza-Pinzon, Fabian-David] Univ Pedagog &amp; Tecnol Colombia, Tunja, Colombia</t>
  </si>
  <si>
    <t>Romero-Hernandez, WA (corresponding author), Univ Pedagog &amp; Tecnol Colombia, Tunja, Colombia.</t>
  </si>
  <si>
    <t>wilmer.romero02@uptc.edu.co; juansebastian.gonzalez@uptc.edu.co; fabian.guiza@uptc.edu.co</t>
  </si>
  <si>
    <t>Guiza Pinzon, Fabian David/0000-0001-9722-9124; Gonzalez-Sanabria, Juan-Sebastian/0000-0002-1024-6077</t>
  </si>
  <si>
    <t>Espinoza-Ramírez Abraham, 2018, Inf. tecnol., V29, P235; Gallardo Escalona L., 2013, TRABAJO FIN MASTER; Llorente del Rio A, 2012, REV CATALANA GEOGRAF, V17, P1; Martinez R, ESTRATEGIA IMPLEMENT; Medina Roa J., 2018, INVESTIGACION CONIMP, P15, DOI [10.15332/dt.inv.2020.02699, DOI 10.15332/DT.INV.2020.02699]; Merino Egea M, 2014, DISENO TECNOLOGIA DE, V1, P48; Morales Campos E. M, 2004, REV DIGITAL UNIV, V5, P1; Pinilla Guerrero K. V., 2017, REV GEOGRAFIA RECIFE, V34, P4, DOI [10.51359/2238-6211.2017.229347, DOI 10.51359/2238-6211.2017.229347]; Quiros E, 2018, REV ESP DOC CIENT, V41, DOI 10.3989/redc.2018.3.1512; Rodriguez A. S., 2021, TRABAJO DE GRADO; Sandoval-Martin T, 2016, PROF INFORM, V25, P458, DOI 10.3145/epi.2016.may.16; Segundo R. M. C, 2015, CICLOVIX SISTEMA COL, DOI [10.13140/RG.2.1.2859.7367, DOI 10.13140/RG.2.1.2859.7367]; Solís Marco, 2016, Rev. am. med. respir., V16, P4</t>
  </si>
  <si>
    <t>10.14483/23448350.19584</t>
  </si>
  <si>
    <t>5E9NZ</t>
  </si>
  <si>
    <t>WOS:000865949500009</t>
  </si>
  <si>
    <t>Bilbao, R; Ramos, V</t>
  </si>
  <si>
    <t>Bilbao, R.; Ramos, V</t>
  </si>
  <si>
    <t>Uniqueness and stability of equilibrium states for random non-uniformly expanding maps</t>
  </si>
  <si>
    <t>ERGODIC THEORY AND DYNAMICAL SYSTEMS</t>
  </si>
  <si>
    <t>random dynamical systems; stability; thermodynamical formalism</t>
  </si>
  <si>
    <t>THERMODYNAMIC FORMALISM; RANDOM TRANSFORMATIONS; ROBUST CLASSES; DECAY</t>
  </si>
  <si>
    <t>We consider a robust class of random non-uniformly expanding local homeomorphisms and Holder continuous potentials with small variation. For each element of this class we develop the thermodynamical formalism and prove the existence and uniqueness of equilibrium states among non-uniformly expanding measures. Moreover, we show that these equilibrium states and the random topological pressure vary continuously in this setting.</t>
  </si>
  <si>
    <t>[Bilbao, R.] UPTC, Escuela Matemat &amp; Estat, Sede Cent Norte Av Cent Norte 39-115, Tunja 150003, Boyaca, Colombia; [Ramos, V] Univ Fed Maranhao, Dept Matemat, Av Portugueses 1966, BR-65080805 Sao Luis, Maranhao, Brazil</t>
  </si>
  <si>
    <t>Universidad Pedagogica y Tecnologica de Colombia (UPTC); Universidade Federal do Maranhao</t>
  </si>
  <si>
    <t>Bilbao, R (corresponding author), UPTC, Escuela Matemat &amp; Estat, Sede Cent Norte Av Cent Norte 39-115, Tunja 150003, Boyaca, Colombia.</t>
  </si>
  <si>
    <t>rafael.alvarez@uptc.edu.co; ramos.vanessa@ufma.br</t>
  </si>
  <si>
    <t>ALVAREZ BILBAO, RAFAEL JOSE/0000-0001-8223-9434</t>
  </si>
  <si>
    <t>FAPEMA-Brazil</t>
  </si>
  <si>
    <t>FAPEMA-Brazil(Fundacao de Amparo a Pesquisa e Desenvolvimento Cientifico do Maranhao (FAPEMA))</t>
  </si>
  <si>
    <t>We would like to thank P. Varandas for useful suggestions and encouragement. We are grateful to the referee for their valuable comments which helped us to correct and improve the manuscript. RB thanks to K. Oliveira for many conversations and to IM-UFAL for the hospitality. VR thanks FAPEMA-Brazil for its financial support.</t>
  </si>
  <si>
    <t>Alves JF, 2003, ASTERISQUE, P25; Alves JF, 2002, ERGOD THEOR DYN SYST, V22, P1, DOI 10.1017/S014385702000019; Alves JF, 2000, INVENT MATH, V140, P351, DOI 10.1007/s002220000057; Alves JF, 2019, ERGOD THEOR DYN SYST, V39, P2619, DOI 10.1017/etds.2017.138; Arbieto A, 2004, NONLINEARITY, V17, P581, DOI 10.1088/0951-7715/17/2/013; Arnold L, 1995, LECT NOTES MATH, V1609, P1; Baladi V, 1997, COMMUN MATH PHYS, V186, P671, DOI 10.1007/s002200050124; Baladi V, 2000, POSITIVE TRANSFER OP, V16; Bilbao RA, 2017, STOCH DYNAM, V17, DOI 10.1142/S0219493717500320; BIRKHOFF G, 1940, AM MATH SOC C PUBLIC, V25; BOWEN R, 1971, T AM MATH SOC, V153, P401, DOI 10.2307/1995565; Castro A, 2013, ANN I H POINCARE-AN, V30, P225, DOI 10.1016/j.anihpc.2012.07.004; Climenhaga V, 2016, ADV MATH, V303, P745, DOI 10.1016/j.aim.2016.07.029; Denker M, 2008, DISCRETE CONT DYN-A, V22, P131; Kifer Y., 1992, RANDOM COMPUTATIONAL, V1, P1; Kifer Y, 1986, ERGODIC THEORY RANDO; Kifer Y, 2008, STOCH DYNAM, V8, P77, DOI 10.1142/S0219493708002238; Liu PD, 2001, ERGOD THEOR DYN SYST, V21, P1279; LIVERANI C, 1995, ANN MATH, V142, P239, DOI 10.2307/2118636; Mayer V, 2011, LECT NOTES MATH, V2036, P1, DOI 10.1007/978-3-642-23650-1; Oliveira K, 2008, ERGOD THEOR DYN SYST, V28, P501, DOI 10.1017/S0143385707001009; Pesin Y, 1997, DIMENSION THEORY DYN; Przytycki, 2010, LONDON MATH SOC LECT; Rokhlin V. A., 1952, FUNDAMENTAL IDEAS ME; Ruelle D., 1978, THERMODYNAMIC FORMAL; Sarig OM, 1999, ERGOD THEOR DYN SYST, V19, P1565, DOI 10.1017/S0143385799146820; Simmons D, 2014, STOCH DYNAM, V14, DOI 10.1142/S0219493713500159; Stadlbauer M, 2021, COMMUN MATH PHYS, V385, P369, DOI 10.1007/s00220-021-04088-w; Varandas P, 2010, ANN I H POINCARE-AN, V27, P555, DOI 10.1016/j.anihpc.2009.10.002; YOUNG LS, 1986, ERGOD THEOR DYN SYST, V6, P311, DOI 10.1017/S0143385700003473</t>
  </si>
  <si>
    <t>0143-3857</t>
  </si>
  <si>
    <t>1469-4417</t>
  </si>
  <si>
    <t>ERGOD THEOR DYN SYST</t>
  </si>
  <si>
    <t>Ergod. Theory Dyn. Syst.</t>
  </si>
  <si>
    <t>2022 JUL 27</t>
  </si>
  <si>
    <t>PII S014338572200044X</t>
  </si>
  <si>
    <t>10.1017/etds.2022.44</t>
  </si>
  <si>
    <t>3F7PQ</t>
  </si>
  <si>
    <t>WOS:000830856900001</t>
  </si>
  <si>
    <t>Bilbao, RA</t>
  </si>
  <si>
    <t>Bilbao, Rafael A.</t>
  </si>
  <si>
    <t>Expanding measure has nonuniform specification property on random dynamical system</t>
  </si>
  <si>
    <t>CHAOS SOLITONS &amp; FRACTALS</t>
  </si>
  <si>
    <t>Random dynamical systems; Expanding measure; Nonuniform specification property</t>
  </si>
  <si>
    <t>In the present paper, we study the distribution of the return points in the fibers for a random nonuniformly expanding dynamical system, preserving an ergodic probability. We also show the abundance of nonlacunarity of hyperbolic times that are obtained along the orbits through the fibers. We conclude that any ergodic measure with positive Lyapunov exponents satisfies the nonuniform specification property among fibers. As consequences, we prove that any expanding measure is the limit of probability measures whose measures of disintegration on the fibers are supported on a finite number of return points and we prove that the average of the measures on the fibers corresponding to a disintegration, along the orbit (theta(n)(w))(n &gt;= 0) in the base dynamics is the limit of Dirac measures supported on return orbits on the fibers. (C) 2022 Elsevier Ltd. All rights reserved.</t>
  </si>
  <si>
    <t>[Bilbao, Rafael A.] UPTC, Escuela Matemat &amp; Estat, Sede Cent Norte Av.Cent Norte 39-115, Boyaca 150003, Colombia; [Bilbao, Rafael A.] Univ Fed Alagoas, UFAL, Inst Matemat, Av.Lourival Melo Mota,S-N Tabuleiro Martins, BR-57072900 Maceio, AL, Brazil</t>
  </si>
  <si>
    <t>Universidad Pedagogica y Tecnologica de Colombia (UPTC); Universidade Federal de Alagoas</t>
  </si>
  <si>
    <t>Bilbao, RA (corresponding author), Univ Fed Alagoas, UFAL, Inst Matemat, Av.Lourival Melo Mota,S-N Tabuleiro Martins, BR-57072900 Maceio, AL, Brazil.</t>
  </si>
  <si>
    <t>rafael.alvarez@uptc.edu.co</t>
  </si>
  <si>
    <t>IM-UFAL, Brazil</t>
  </si>
  <si>
    <t>Acknowledgements The author would like to thank K. Oliveira for pointing out this prob-lem and E. Santana for comments and for useful conversations. We also thank IM-UFAL, Brazil for the hospitality and the opportunity to develop part of this work.</t>
  </si>
  <si>
    <t>Alves JF, 2003, ASTERISQUE, P25; Alves JF, 2003, STAT ANAL NONUNIFORM; Araujo V, 2014, MATH Z, V277, P1199, DOI 10.1007/s00209-014-1300-z; Arbieto A, 2004, NONLINEARITY, V17, P581, DOI 10.1088/0951-7715/17/2/013; Bilbao RA, 2017, STOCH DYNAM, V17, DOI 10.1142/S0219493717500320; BOWEN R, 1972, AM J MATH, V94, P1, DOI 10.2307/2373590; Dieks D, 2013, PHILOS SCI EUROPEAN; IJpelaar F., 2021, THESIS RIJKUNIVERSIT; Kwietniak D, 2016, CONTEMP MATH, V669; Ludwing A., 1998, SPRINGER MONOGR MATH, V1, pXV; Mayer V, 2011, LECT NOTES MATH, V2036, P1, DOI 10.1007/978-3-642-23650-1; Oliveira K, 2006, DISCRETE CONT DYN-A, V15, P225; Oliveira K, 2012, P AM MATH SOC, V140, P1309, DOI 10.1090/S0002-9939-2011-10985-7; Przytycki F, 2010, LONDON MATH SOC LECT, P371; Rokhlin V.A, 1962, TRANSL AM MATH SOC, V1, P107; Stadlbauer M, 2021, COMMUN MATH PHYS, V385, P369, DOI 10.1007/s00220-021-04088-w; Varandas P, 2010, ANN I H POINCARE-AN, V27, P555, DOI 10.1016/j.anihpc.2009.10.002</t>
  </si>
  <si>
    <t>0960-0779</t>
  </si>
  <si>
    <t>1873-2887</t>
  </si>
  <si>
    <t>CHAOS SOLITON FRACT</t>
  </si>
  <si>
    <t>Chaos Solitons Fractals</t>
  </si>
  <si>
    <t>10.1016/j.chaos.2022.112009</t>
  </si>
  <si>
    <t>Mathematics, Interdisciplinary Applications; Physics, Multidisciplinary; Physics, Mathematical</t>
  </si>
  <si>
    <t>Mathematics; Physics</t>
  </si>
  <si>
    <t>1K7LK</t>
  </si>
  <si>
    <t>WOS:000798778300016</t>
  </si>
  <si>
    <t>Cifuentes, EA; Sierra, MA; Yepes, AF; Baldion, AM; Rojas, JA; Alvarez-Moreno, CA; Anzola, JM; Zambrano, MM; Huertas, MG</t>
  </si>
  <si>
    <t>Alejandra Cifuentes, Erika; Sierra, Maria A.; Felipe Yepes, Andres; Margarita Baldion, Ana; Antonio Rojas, Jose; Arturo Alvarez-Moreno, Carlos; Manuel Anzola, Juan; Mercedes Zambrano, Maria; Huertas, Monica G.</t>
  </si>
  <si>
    <t>Endotracheal tube microbiome in hospitalized patients defined largely by hospital environment</t>
  </si>
  <si>
    <t>RESPIRATORY RESEARCH</t>
  </si>
  <si>
    <t>Endotracheal tubes; Respiratory tract microbiome; Intensive care units (ICUs); Ventilator-associated pneumonia; Microbial diversity</t>
  </si>
  <si>
    <t>KLEBSIELLA-PNEUMONIAE; BIOFILM FORMATION; DENTAL PLAQUE; RISK-FACTORS; LUNG; INFECTIONS</t>
  </si>
  <si>
    <t>Background Studies of the respiratory tract microbiome primarily focus on airway and lung microbial diversity, but it is still unclear how these microbial communities may be affected by intubation and long periods in intensive care units (ICU), an aspect that today could aid in the understanding of COVID19 progression and disease severity. This study aimed to explore and characterize the endotracheal tube (ETT) microbiome by analyzing ETT-associated microbial communities. Methods This descriptive study was carried out on adult patients subjected to invasive mechanical ventilation from 2 to 21 days. ETT samples were obtained from 115 patients from ICU units in two hospitals. Bacteria isolated from endotracheal tubes belonging to the ESKAPE group were analyzed for biofilm formation using crystal violet quantification. Microbial profiles were obtained using Illumina sequencing of 16S rRNA gene. Results The ETT microbiome was mainly composed by the phyla Proteobacteria, Firmicutes and Bacteroidetes. Microbiome composition correlated with the ICU in which patients were hospitalized, while intubation time and diagnosis of ventilator-associated pneumonia (VAP) did not show any significant association. Conclusion These results suggest that the ICU environment, or medical practices, could be a key to microbial colonization and have a direct influence on the ETT microbiomes of patients that require mechanical ventilation.</t>
  </si>
  <si>
    <t>[Alejandra Cifuentes, Erika; Sierra, Maria A.; Manuel Anzola, Juan; Mercedes Zambrano, Maria; Huertas, Monica G.] Corp CorpoGen Res Ctr, Bogota, Colombia; [Sierra, Maria A.] Weill Cornell Med, Triinst Computat Biol &amp; Med Program, New York, NY USA; [Felipe Yepes, Andres; Margarita Baldion, Ana] Hosp Univ Fdn Santa Fe Bogota, Bogota, Colombia; [Antonio Rojas, Jose; Arturo Alvarez-Moreno, Carlos] Clin Univ Colombia, Clin Colsanitas, Bogota, Colombia; [Manuel Anzola, Juan; Mercedes Zambrano, Maria] Univ Cent, Bogota, Colombia; [Huertas, Monica G.] Univ Pedag &amp; Tecnol Colombia, Tunja, Boyaca, Colombia</t>
  </si>
  <si>
    <t>Cornell University; Weill Cornell Medicine; Universidad Pedagogica y Tecnologica de Colombia (UPTC)</t>
  </si>
  <si>
    <t>Huertas, MG (corresponding author), Corp CorpoGen Res Ctr, Bogota, Colombia.;Huertas, MG (corresponding author), Univ Pedag &amp; Tecnol Colombia, Tunja, Boyaca, Colombia.</t>
  </si>
  <si>
    <t>monica.huertas01@uptc.edu.co</t>
  </si>
  <si>
    <t>Alvarez-Moreno, carlos Arturo/P-6678-2016</t>
  </si>
  <si>
    <t>Alvarez-Moreno, carlos Arturo/0000-0001-5419-4494; Huertas Valero, Monica Gabriela/0000-0001-6568-4595</t>
  </si>
  <si>
    <t>Colciencias/Minciencias [63967255342, 6396100270500]</t>
  </si>
  <si>
    <t>Colciencias/Minciencias</t>
  </si>
  <si>
    <t>The work was financed by Colciencias/Minciencias (Projects 63967255342 and 6396100270500). The funding agencies had no role in the design of the study, collection of samples, analysis and interpretation of the results, or in writing the manuscript.</t>
  </si>
  <si>
    <t>[Anonymous], 2005, AM J RESP CRIT CARE, V171, P388, DOI 10.1164/rccm.200405-644ST; Bahrani-Mougeot FK, 2007, J CLIN MICROBIOL, V45, P1588, DOI 10.1128/JCM.01963-06; Balestrino D, 2005, J BACTERIOL, V187, P2870, DOI 10.1128/JB.187.8.2870-2880.2005; Bolger AM, 2014, BIOINFORMATICS, V30, P2114, DOI 10.1093/bioinformatics/btu170; Bradley KC, 2019, CELL REP, V28, P245, DOI 10.1016/j.celrep.2019.05.105; Busl KM, 2019, CURR NEUROL NEUROSCI, V19, DOI 10.1007/s11910-019-0987-y; Callahan BJ, 2017, ISME J, V11, P2639, DOI 10.1038/ismej.2017.119; Chiarello M, 2022, PLOS ONE, V17, DOI 10.1371/journal.pone.0264443; Coperchini F, 2020, CYTOKINE GROWTH F R, V53, P25, DOI 10.1016/j.cytogfr.2020.05.003; Rosenthal VD, 2016, AM J INFECT CONTROL, V44, P1495, DOI 10.1016/j.ajic.2016.08.007; de Boer MGJ, 2008, J INFECTION, V56, P446, DOI 10.1016/j.jinf.2008.04.001; Baptista IMD, 2018, ARCH ORAL BIOL, V85, P64, DOI 10.1016/j.archoralbio.2017.09.029; Dewhirst FE, 2010, J BACTERIOL, V192, P5002, DOI 10.1128/JB.00542-10; Dickson RP, 2016, ANNU REV PHYSIOL, V78, P481, DOI 10.1146/annurev-physiol-021115-105238; Dickson RP, 2014, LANCET RESP MED, V2, P238, DOI 10.1016/S2213-2600(14)70028-1; Dickson RP, 2013, EXPERT REV RESP MED, V7, P245, DOI [10.1586/ers.13.24, 10.1586/ERS.13.24]; Souza LCD, 2017, BRAZ ORAL RES, V31, DOI [10.1590/1807-3107BOR-2017.vol31.0038, 10.1590/1807-3107bor-2017.vol31.0038]; Edwardson S, 2019, ANAEST INTENS CARE M, V20, P14, DOI 10.1016/j.mpaic.2018.11.004; Botero LE, 2014, MICROBIOME, V2, DOI 10.1186/2049-2618-2-29; Fabbrizzi A, 2019, INTERN EMERG MED, V14, P1241, DOI 10.1007/s11739-019-02208-y; Fan J, 2020, J INFECTION, V81, pE64, DOI 10.1016/j.jinf.2020.06.047; Fernandez-Barat L, 2020, EBIOMEDICINE, V60, DOI 10.1016/j.ebiom.2020.102995; Fernandez-Barat L, 2016, FUTURE MICROBIOL, V11, P1599, DOI 10.2217/fmb-2016-0040; Finlay BB, 2021, P NATL ACAD SCI USA, V118, DOI 10.1073/pnas.2010217118; Founou RC, 2017, PLOS ONE, V12, DOI 10.1371/journal.pone.0189621; Gala YS, 2016, J CLIN DIAGN RES, V10, pSC6, DOI 10.7860/JCDR/2016/18570.7920; Gloor G., 2015, ALDEX MAN MODUL, V20, P1; Hotterbeekx A, 2016, SCI REP-UK, V6, DOI 10.1038/srep36507; Huertas MG, 2014, MICROBIOL-SGM, V160, P2595, DOI 10.1099/mic.0.081992-0; Jamal M, 2018, J CHIN MED ASSOC, V81, P7, DOI 10.1016/j.jcma.2017.07.012; Khatiwada Saroj, 2020, Hum Microb J, V17, P100073, DOI 10.1016/j.humic.2020.100073; Kitsios GD, 2018, FRONT MICROBIOL, V9, DOI 10.3389/fmicb.2018.01413; Lamarche D, 2018, RESP RES, V19, DOI 10.1186/s12931-018-0950-5; Lord AS, 2019, NEUROCRIT CARE, V31, P196, DOI 10.1007/s12028-018-0568-y; Marino PJ, 2017, J CRIT CARE, V39, P149, DOI 10.1016/j.jcrc.2017.02.020; McDonald D, 2012, ISME J, V6, P610, DOI 10.1038/ismej.2011.139; McMurdie PJ, 2013, PLOS ONE, V8, DOI 10.1371/journal.pone.0061217; Munive A., 2013, MICROBIOLOGIA APLICA, P477; Ospina-Martinez M.L., 2021, B EPIDEMIOLOGICO SEM; Percival SL, 2015, J MED MICROBIOL, V64, P323, DOI 10.1099/jmm.0.000032; Perkins SD, 2010, INT J MED MICROBIOL, V300, P503, DOI 10.1016/j.ijmm.2010.02.005; Pirrone M, 2016, CURR OPIN INFECT DIS, V29, P160, DOI 10.1097/QCO.0000000000000255; Piters WAAD, 2016, ISME J, V10, P97, DOI 10.1038/ismej.2015.99; Ribeiro LF, 2019, FRONT PUBLIC HEALTH, V7, DOI 10.3389/fpubh.2019.00240; Sands KM, 2017, J CRIT CARE, V37, P30, DOI 10.1016/j.jcrc.2016.07.019; Schloss PD, 2021, MSPHERE, V6, DOI 10.1128/mSphere.00191-21; Schloss PD, 2009, APPL ENVIRON MICROB, V75, P7537, DOI 10.1128/AEM.01541-09; Segal LN, 2016, NAT MICROBIOL, V1, DOI [10.1038/NMICROBIOL.2016.31, 10.1038/nmicrobiol.2016.31]; Shannon C.E., 1964, MATH THEORY COMMUNIC; Shen ZJ, 2020, CLIN INFECT DIS, V71, P713, DOI 10.1093/cid/ciaa203; Shokri D, 2018, PROBIOTICS ANTIMICRO, V10, P34, DOI 10.1007/s12602-017-9267-9; SIMPSON EH, 1949, NATURE, V163, P688, DOI 10.1038/163688a0; Soffritti I, 2021, FRONT MICROBIOL, V12, DOI 10.3389/fmicb.2021.687513; Spacova I, 2018, DIS MODEL MECH, V11, DOI 10.1242/dmm.034314; Stepanovic S, 2007, APMIS, V115, P891, DOI 10.1111/j.1600-0463.2007.apm_630.x; Stirling C, 2010, BMC HEALTH SERV RES, V10, DOI 10.1186/1472-6963-10-122; Thijs S, 2017, FRONT MICROBIOL, V8, DOI 10.3389/fmicb.2017.00494; Vandecandelaere I, 2012, PLOS ONE, V7, DOI 10.1371/journal.pone.0038401; Yang XJ, 2015, DRUG DES DEV THER, V9, DOI 10.2147/DDDT.S87634; Yatera K, 2018, RESPIR INVESTIG, V56, P432, DOI 10.1016/j.resinv.2018.08.003</t>
  </si>
  <si>
    <t>1465-993X</t>
  </si>
  <si>
    <t>RESP RES</t>
  </si>
  <si>
    <t>Respir. Res.</t>
  </si>
  <si>
    <t>JUN 24</t>
  </si>
  <si>
    <t>10.1186/s12931-022-02086-7</t>
  </si>
  <si>
    <t>Respiratory System</t>
  </si>
  <si>
    <t>2J2KZ</t>
  </si>
  <si>
    <t>WOS:000815494000001</t>
  </si>
  <si>
    <t>Montanez-Barrera, JA; Barroso-Maldonado, JM; Bedoya-Santacruz, AF; Mota-Babiloni, A</t>
  </si>
  <si>
    <t>Montanez-Barrera, J. A.; Barroso-Maldonado, J. M.; Bedoya-Santacruz, A. F.; Mota-Babiloni, Adrian</t>
  </si>
  <si>
    <t>Correlate d-informe d neural networks: A new machine learning framework to predict pressure drop in micro-channels</t>
  </si>
  <si>
    <t>INTERNATIONAL JOURNAL OF HEAT AND MASS TRANSFER</t>
  </si>
  <si>
    <t>Two-phase flow; Pressure drop; Zeotropic mixtures; Machine learning; Transfer learning; ANN; Micro-channels</t>
  </si>
  <si>
    <t>FLOW; MODELS; ANN</t>
  </si>
  <si>
    <t>Accurate pressure drop estimation in forced boiling phenomena is important during the thermal analysis and the geometric design of cryogenic heat exchangers. However, current methods to predict the pressure drop have one of two problems: lack of accuracy or generalization to different situations. In this work, we present the correlated-informed neural networks (CoINN), a new paradigm in applying the artificial neural network (ANN) technique combined with a successful pressure drop correlation as a mapping tool to predict the pressure drop of zeotropic mixtures in micro-channels. The proposed approach is inspired by Transfer Learning, which is highly used in deep learning problems with reduced datasets. Our method improves the ANN performance by transferring the knowledge of the Sun &amp; Mishima correlation for the pressure drop to the ANN. The correlation having physical and phenomenological implications for the pressure drop in micro-channels considerably improves the performance and generalization capabilities of the ANN. The final architecture consists of three inputs: the mixture vapor quality, the micro-channel inner diameter, and the available pressure drop correlation. The results show the benefits gained using the correlated-informed approach predicting experimental data used for training and a posterior test with a mean relative error (mre) of 6%, lower than the Sun &amp; Mishima correlation of 13%. Additionally, this approach can be extended to other mixtures and experimental settings, a missing feature in other approaches for mapping correlations using ANNs for heat transfer applications.(c) 2022 Elsevier Ltd. All rights reserved.</t>
  </si>
  <si>
    <t>[Montanez-Barrera, J. A.] Univ Guanajuato, Engn Div, Irapuato Salamanca campus, Salamanca 36885, Mexico; [Barroso-Maldonado, J. M.] CETYS Univ, Coll Engn, Mexicali 21259, BC, Mexico; [Bedoya-Santacruz, A. F.] Pedag &amp; Technol Univ Colombia, Dept Electromech Engn, Duitama 150461, Boyaca, Colombia; [Mota-Babiloni, Adrian] Univ Jaume I UJI, Dept Mech Engn &amp; Construct, ISTENER Res Grp, E-12071 Castellon de La Plana, Spain</t>
  </si>
  <si>
    <t>Universidad de Guanajuato; Universidad Pedagogica y Tecnologica de Colombia (UPTC); Universitat Jaume I</t>
  </si>
  <si>
    <t>Montanez-Barrera, JA (corresponding author), Univ Guanajuato, Engn Div, Irapuato Salamanca campus, Salamanca 36885, Mexico.</t>
  </si>
  <si>
    <t>ja.montanezbarrera@ugto.mx</t>
  </si>
  <si>
    <t>Mota Babiloni, Adrián/S-1594-2018</t>
  </si>
  <si>
    <t>Mota Babiloni, Adrián/0000-0002-2320-3666; Montanez Barrera, Alejandro/0000-0002-8103-4581; Barroso-Maldonado, Juan Manuel/0000-0003-2486-4180</t>
  </si>
  <si>
    <t>National Council of Science and Technology (CONACyT) , Mexico [CVU-736083]; Universidad de Guanajuato [IJC2019-038997-I]; Juan de la Cierva-Incorporacion [IJC2019-038997-I]; Spanish Research Agency [IJC2019-038997-I];  [MCIN/AEI/10.13039/501100011033]</t>
  </si>
  <si>
    <t xml:space="preserve">National Council of Science and Technology (CONACyT) , Mexico(Consejo Nacional de Ciencia y Tecnologia (CONACyT)); Universidad de Guanajuato; Juan de la Cierva-Incorporacion; Spanish Research Agency(Spanish Government); </t>
  </si>
  <si>
    <t>J.A.M.-B. thanks the National Council of Science and Technology (CONACyT) , Mexico, for his Assistantship No. CVU-736083. We thank Universidad de Guanajuato for the support in the realization of this research. We thank CETYS Universidad for the support in the completion of this research. Adri?n Mota-Babiloni acknowledges grant Juan de la Cierva-Incorporacion 2019 (IJC2019-038997-I) funded by the Spanish Research Agency (MCIN/AEI/10.13039/501100011033) .</t>
  </si>
  <si>
    <t>Al-Naser M, 2016, J PETROL SCI ENG, V145, P548, DOI 10.1016/j.petrol.2016.06.029; Asadi M, 2014, INT J HEAT MASS TRAN, V79, P34, DOI 10.1016/j.ijheatmasstransfer.2014.07.090; Awad MM, 2008, EXP THERM FLUID SCI, V33, P106, DOI 10.1016/j.expthermflusci.2008.07.006; Barraza R, 2016, INT J HEAT MASS TRAN, V98, P285, DOI 10.1016/j.ijheatmasstransfer.2016.03.010; Barroso-Maldonado JM, 2019, APPL THERM ENG, V149, P492, DOI 10.1016/j.applthermaleng.2018.12.082; Barroso-Maldonado JM, 2018, CRYOGENICS, V92, P60, DOI 10.1016/j.cryogenics.2018.04.005; Bhattacharyya S, 2021, SUSTAINABILITY-BASEL, V13, DOI 10.3390/su13137477; Cicchitti A., 1960, ENERG NUCL, P407; Esmaeili H, 2017, CHEM PROD PROCESS MO, V12, DOI 10.1515/cppm-2016-0050; Garcia JJ, 2018, INT J REFRIG, V85, P292, DOI 10.1016/j.ijrefrig.2017.10.007; Ghode T, 2017, INDIAN CHEM ENG, V59, P57, DOI 10.1080/00194506.2015.1116962; Guo L, 2019, IEEE T IND ELECTRON, V66, P7316, DOI 10.1109/TIE.2018.2877090; HOTELLING H, 1953, J R STAT SOC B, V15, P193; Keniar K, 2021, INT J HEAT MASS TRAN, V176, DOI 10.1016/j.ijheatmasstransfer.2021.121383; Moharana MK, 2013, COMPUT METHOD APPL M, V259, P64, DOI 10.1016/j.cma.2013.03.005; Najafi B, 2021, CHEM ENG RES DES, V167, P252, DOI 10.1016/j.cherd.2021.01.002; Niaki SA, 2021, COMPUT METHOD APPL M, V384, DOI 10.1016/j.cma.2021.113959; Pan Y, 2019, J ELECTR ENG TECHNOL, V14, P407, DOI 10.1007/s42835-018-00048-y; PRATT LY, 1991, PROCEEDINGS : NINTH NATIONAL CONFERENCE ON ARTIFICIAL INTELLIGENCE, VOLS 1 AND 2, P584; Raissi M, 2017, ARTIF INTELL; Stephanou M, 2021, J MULTIVARIATE ANAL, V186, DOI 10.1016/j.jmva.2021.104783; Sun LC, 2009, INT J MULTIPHAS FLOW, V35, P47, DOI 10.1016/j.ijmultiphaseflow.2008.08.003; Tan CQ, 2018, LECT NOTES COMPUT SC, V11141, P270, DOI 10.1007/978-3-030-01424-7_27; Wang LW, 2020, COMPUT METHOD APPL M, V372, DOI 10.1016/j.cma.2020.113377; Yaji K, 2022, COMPUT METHOD APPL M, V388, DOI 10.1016/j.cma.2021.114284; Yamada H, 2019, ACS CENTRAL SCI, V5, P1717, DOI 10.1021/acscentsci.9b00804; Zendehboudi A, 2017, INT COMMUN HEAT MASS, V86, P166, DOI 10.1016/j.icheatmasstransfer.2017.05.030; Zhuang FZ, 2021, P IEEE, V109, P43, DOI 10.1109/JPROC.2020.3004555</t>
  </si>
  <si>
    <t>0017-9310</t>
  </si>
  <si>
    <t>1879-2189</t>
  </si>
  <si>
    <t>INT J HEAT MASS TRAN</t>
  </si>
  <si>
    <t>Int. J. Heat Mass Transf.</t>
  </si>
  <si>
    <t>SEP 15</t>
  </si>
  <si>
    <t>10.1016/j.ijheatmasstransfer.2022.123017</t>
  </si>
  <si>
    <t>Thermodynamics; Engineering, Mechanical; Mechanics</t>
  </si>
  <si>
    <t>Thermodynamics; Engineering; Mechanics</t>
  </si>
  <si>
    <t>1W4IS</t>
  </si>
  <si>
    <t>Green Submitted, Green Published</t>
  </si>
  <si>
    <t>WOS:000806739300007</t>
  </si>
  <si>
    <t>Falfushynska, H; Kasianchuk, N; Siemens, E; Henao, E; Rzymski, P</t>
  </si>
  <si>
    <t>Falfushynska, Halina; Kasianchuk, Nadiia; Siemens, Eduard; Henao, Eliana; Rzymski, Piotr</t>
  </si>
  <si>
    <t>A Review of Common Cyanotoxins and Their Effects on Fish</t>
  </si>
  <si>
    <t>TOXICS</t>
  </si>
  <si>
    <t>cyanobacteria; ecotoxicology; toxin bioaccumulation; aquatic environment</t>
  </si>
  <si>
    <t>TOXIN MICROCYSTIN-LR; CYPRINUS-CARPIO L.; OXIDATIVE STRESS; CYANOBACTERIAL TOXIN; IN-VITRO; CYLINDROSPERMOPSIS-RACIBORSKII; CARASSIUS-AURATUS; FRESH-WATER; FUNCTIONAL-CHARACTERIZATION; ANTIOXIDANT RESPONSE</t>
  </si>
  <si>
    <t>Global warming and human-induced eutrophication drive the occurrence of various cyanotoxins in aquatic environments. These metabolites reveal diversified mechanisms of action, encompassing cyto-, neuro-, hepato-, nephro-, and neurotoxicity, and pose a threat to aquatic biota and human health. In the present paper, we review data on the occurrence of the most studied cyanotoxins, microcystins, nodularins, cylindrospermopsin, anatoxins, and saxitoxins, in the aquatic environment, as well as their potential bioaccumulation and toxicity in fish. Microcystins are the most studied among all known cyanotoxins, although other toxic cyanobacterial metabolites are also commonly identified in aquatic environments and can reveal high toxicity in fish. Except for primary toxicity signs, cyanotoxins adversely affect the antioxidant system and anti-/pro-oxidant balance. Cyanotoxins also negatively impact the mitochondrial and endoplasmic reticulum by increasing intracellular reactive oxygen species. Furthermore, fish exposed to microcystins and cylindrospermopsin exhibit various immunomodulatory, inflammatory, and endocrine responses. Even though cyanotoxins exert a complex pressure on fish, numerous aspects are yet to be the subject of in-depth investigation. Metabolites other than microcystins should be studied more thoroughly to understand the long-term effects in fish and provide a robust background for monitoring and management actions.</t>
  </si>
  <si>
    <t>[Falfushynska, Halina] Univ Rostock, Inst Biol Sci, Dept Marine Biol, D-18059 Rostock, Germany; [Falfushynska, Halina; Siemens, Eduard] Anhalt Univ Appl Sci, Fac Elect Mech &amp; Ind Engn, D-06366 Kothen, Germany; [Kasianchuk, Nadiia] Adam Mickiewicz Univ, Fac Biol, Poznan, Poland; [Henao, Eliana] Univ Pedag &amp; Tecnol Colombia, Sch Biol Sci, Res Grp Integrated Management Ecosyst &amp; Biodivers, Tunja 150003, Colombia; [Rzymski, Piotr] Poznan Univ Med Sci, Dept Environm Med, Poznan, Poland; [Rzymski, Piotr] Univ Sci Educ &amp; Res Network USERN, Integrated Sci Assoc ISA, PL-61701 Poznan, Poland</t>
  </si>
  <si>
    <t>University of Rostock; Adam Mickiewicz University; Universidad Pedagogica y Tecnologica de Colombia (UPTC); Poznan University of Medical Sciences</t>
  </si>
  <si>
    <t>Falfushynska, H (corresponding author), Univ Rostock, Inst Biol Sci, Dept Marine Biol, D-18059 Rostock, Germany.;Falfushynska, H (corresponding author), Anhalt Univ Appl Sci, Fac Elect Mech &amp; Ind Engn, D-06366 Kothen, Germany.</t>
  </si>
  <si>
    <t>halina.falfushynska@uni-rostock.de</t>
  </si>
  <si>
    <t>; Falfushynska, Halina/B-6518-2015; Rzymski, Piotr/I-2240-2012</t>
  </si>
  <si>
    <t>Kasianchuk, Nadiia/0000-0002-9732-329X; Falfushynska, Halina/0000-0003-3058-4919; Rzymski, Piotr/0000-0002-4713-0801</t>
  </si>
  <si>
    <t>Alexander von Humboldt Stiftung (Phillipp Schwartz Initiative)</t>
  </si>
  <si>
    <t>Alexander von Humboldt Stiftung (Phillipp Schwartz Initiative)(Alexander von Humboldt Foundation)</t>
  </si>
  <si>
    <t>This research was partially supported by Alexander von Humboldt Stiftung (Phillipp Schwartz Initiative) to HF.</t>
  </si>
  <si>
    <t>Amado LL, 2010, ENVIRON INT, V36, P226, DOI 10.1016/j.envint.2009.10.010; [Anonymous], 2020, STAT WORLD FISH AQ; Atencio L, 2008, TOXICON, V52, P1, DOI 10.1016/j.toxicon.2008.05.009; Ballot A, 2014, MAR FRESHWATER RES, V65, P175, DOI 10.1071/MF13153; Bi XD, 2019, SCI TOTAL ENVIRON, V688, P380, DOI 10.1016/j.scitotenv.2019.06.156; Bittencourt-Oliveira MD, 2014, AN ACAD BRAS CIENC, V86, P297, DOI 10.1590/0001-3765201302512; Blahova L, 2008, ENVIRON CHEM LETT, V6, P223, DOI 10.1007/s10311-007-0126-x; Briand E, 2008, ENVIRON MICROBIOL, V10, P3337, DOI 10.1111/j.1462-2920.2008.01730.x; Brient L, 2009, ENVIRON TOXICOL, V24, P415, DOI 10.1002/tox.20439; Bury NR, 1996, J EXP BIOL, V199, P1319; Cao LH, 2019, TOXINS, V11, DOI 10.3390/toxins11090482; Cazenave J, 2006, ENVIRON TOXICOL, V21, P22, DOI 10.1002/tox.20151; Cazenave J, 2006, AQUAT TOXICOL, V76, P1, DOI 10.1016/j.aquatox.2005.08.011; Cazenave J, 2005, AQUAT TOXICOL, V75, P178, DOI 10.1016/j.aquatox.2005.08.002; Ceballos-Laita L, 2015, MAR DRUGS, V13, P5666, DOI 10.3390/md13095666; Cerbin S, 2010, HYDROBIOLOGIA, V643, P129, DOI 10.1007/s10750-010-0130-1; Chen C, 2016, TOXICON, V118, P13, DOI 10.1016/j.toxicon.2016.04.030; Chen YB, 2016, SCI REP-UK, V6, DOI 10.1038/srep39238; Chia MA, 2021, ENVIRON POLLUT, V271, DOI 10.1016/j.envpol.2020.116366; Chung EY, 2006, CELL RES, V16, P154, DOI 10.1038/sj.cr.7310021; Cires S, 2016, HARMFUL ALGAE, V54, P21, DOI 10.1016/j.hal.2015.09.007; Cires S, 2014, APPL ENVIRON MICROB, V80, P1359, DOI 10.1128/AEM.03002-13; Davis TW, 2009, HARMFUL ALGAE, V8, P715, DOI 10.1016/j.hal.2009.02.004; Ding WX, 2003, FEMS MICROBIOL LETT, V220, P1, DOI 10.1016/S0378-1097(03)00100-9; Ding WX, 1998, ENVIRON HEALTH PERSP, V106, P409, DOI 10.2307/3434068; Dorr FA, 2010, TOXICON, V56, P1247, DOI 10.1016/j.toxicon.2010.03.018; Downs T, 2008, AQUAT SCI, V70, P347, DOI 10.1007/s00027-008-8065-6; Duran-Riveroll LM, 2017, MAR DRUGS, V15, DOI 10.3390/md15100303; Dyble J, 2011, MAR DRUGS, V9, P2553, DOI 10.3390/md9122553; Ernst B, 2006, AQUAT TOXICOL, V79, P31, DOI 10.1016/j.aquatox.2006.04.013; Evans DM, 2019, CHEMOSPHERE, V234, P139, DOI 10.1016/j.chemosphere.2019.06.021; Faassen EJ, 2013, MAR DRUGS, V11, P2643, DOI 10.3390/md11072643; Facey JA, 2019, TOXINS, V11, DOI 10.3390/toxins11110643; Falfushynska H, 2021, WATER RES, V194, DOI 10.1016/j.watres.2021.116923; Falfushynska H, 2019, AQUAT TOXICOL, V206, P105, DOI 10.1016/j.aquatox.2018.11.012; Fastner J, 2007, ENVIRON TOXICOL, V22, P26, DOI 10.1002/tox.20230; Fernandes S, 2009, J EXP ZOOL PART A, V311A, P226, DOI 10.1002/jez.524; Ferrao AD, 2011, MAR DRUGS, V9, P2729, DOI 10.3390/md9122729; Ferrao-Filhoa AD, 2009, ECOTOX ENVIRON SAFE, V72, P479, DOI 10.1016/j.ecoenv.2008.02.002; Feurstein D, 2009, TOXICOL APPL PHARM, V234, P247, DOI 10.1016/j.taap.2008.10.011; Fiore MF, 2020, HARMFUL ALGAE, V92, DOI 10.1016/j.hal.2019.101737; Fischer WJ, 2005, TOXICOL APPL PHARM, V203, P257, DOI 10.1016/j.taap.2004.08.012; Fladmark KE, 2002, J BIOL CHEM, V277, P2804, DOI 10.1074/jbc.M109049200; Fu J, 2006, AQUAT TOXICOL, V80, P261, DOI 10.1016/j.aquatox.2006.09.003; Gan NQ, 2010, CHEM RES TOXICOL, V23, P1477, DOI 10.1021/tx1001628; Ge SM, 2021, RSC ADV, V11, P6415, DOI 10.1039/d0ra08983d; Gobler CJ, 2016, HARMFUL ALGAE, V54, P87, DOI 10.1016/j.hal.2016.01.010; Greer B, 2018, SCI REP-UK, V8, DOI 10.1038/s41598-018-23312-7; Gutendorf B, 2001, TOXICOLOGY, V166, P79, DOI 10.1016/S0300-483X(01)00437-1; Halliwell B, 2006, PLANT PHYSIOL, V141, P312, DOI 10.1104/pp.106.077073; Harke MJ, 2015, BMC GENOMICS, V16, DOI 10.1186/s12864-015-2275-9; He XQ, 2006, J BIOL CHEM, V281, P23620, DOI 10.1074/jbc.M604120200; Hercog K, 2017, CHEMOSPHERE, V189, P319, DOI 10.1016/j.chemosphere.2017.09.075; Hetz C, 2006, SCIENCE, V312, P572, DOI 10.1126/science.1123480; Hodoki Y, 2012, HARMFUL ALGAE, V16, P49, DOI 10.1016/j.hal.2012.01.003; Hoff-Risseti C, 2013, PLOS ONE, V8, DOI 10.1371/journal.pone.0074238; Hou J, 2018, ENVIRON POLLUT, V240, P615, DOI 10.1016/j.envpol.2018.04.140; Huo D, 2021, HARMFUL ALGAE, V109, DOI 10.1016/j.hal.2021.102106; Ibelings BW, 2005, MICROB ECOL, V49, P487, DOI 10.1007/s00248-004-0014-x; Janssen EML, 2019, WATER RES, V151, P488, DOI 10.1016/j.watres.2018.12.048; Jia NN, 2021, ENVIRON POLLUT, V270, DOI 10.1016/j.envpol.2020.116070; Jiang JL, 2013, PLOS ONE, V8, DOI 10.1371/journal.pone.0084768; Jiang JL, 2011, ECOTOXICOLOGY, V20, P1000, DOI 10.1007/s10646-011-0646-9; Jing M, 2021, ENVIRON POLLUT, V270, DOI 10.1016/j.envpol.2020.116047; Jones MR, 2021, WATER RES, V196, DOI 10.1016/j.watres.2021.117017; Kansanen E, 2013, REDOX BIOL, V1, P45, DOI 10.1016/j.redox.2012.10.001; Koker L, 2017, J ENVIRON PROT ECOL, V18, P425; KONDO F, 1992, CHEM RES TOXICOL, V5, P591, DOI 10.1021/tx00029a002; Kotak BG, 2007, LAKE RESERV MANAGE, V23, P109, DOI 10.1080/07438140709353915; Kujbida P, 2006, BIOCHEM BIOPH RES CO, V341, P273, DOI 10.1016/j.bbrc.2005.12.177; Kurmayer R, 2004, ENVIRON MICROBIOL, V6, P831, DOI 10.1111/j.1462-2920.2004.00626.x; Laureano-Rosario AE, 2021, HARMFUL ALGAE, V103, DOI 10.1016/j.hal.2021.102012; Leiers T, 2000, BRIT J PHARMACOL, V130, P1406, DOI 10.1038/sj.bjp.0703441; Li L, 2010, FISH PHYSIOL BIOCHEM, V36, P165, DOI 10.1007/s10695-008-9228-z; Li XY, 2003, TOXICON, V42, P85, DOI 10.1016/S0041-0101(03)00104-1; Lin W, 2020, ENVIRON SCI TECHNOL, V54, P1014, DOI 10.1021/acs.est.9b04953; Liu GF, 2018, CHEMOSPHERE, V192, P289, DOI 10.1016/j.chemosphere.2017.10.167; Liu JS, 2018, WATER RES, V132, P309, DOI 10.1016/j.watres.2018.01.018; Liu WJ, 2016, SCI REP-UK, V6, DOI 10.1038/srep22819; Liyanage HM, 2016, J ENVIRON SCI HEAL C, V34, P137, DOI 10.1080/10590501.2016.1193923; Lopes VR, 2012, MAR ENVIRON RES, V73, P7, DOI 10.1016/j.marenvres.2011.10.005; Lu H, 2008, TOXICOL SCI, V103, P35, DOI 10.1093/toxsci/kfn038; Lundqvist J, 2017, TOXICON, V126, P47, DOI 10.1016/j.toxicon.2016.12.012; Malbrouck C, 2004, TOXICON, V43, P295, DOI 10.1016/j.toxicon.2003.12.007; Malbrouck C, 2003, COMP BIOCHEM PHYS C, V135, P39, DOI 10.1016/S1532-0456(03)00047-4; Mantzouki E, 2018, TOXINS, V10, DOI 10.3390/toxins10040156; Martins ND, 2017, TOXICON, V139, P109, DOI 10.1016/j.toxicon.2017.10.006; Meriluoto Jussi, 2017, Advances in Oceanography and Limnology, V8, P161, DOI 10.4081/aiol.2017.6429; Messineo V, 2010, ENVIRON TOXICOL, V25, P18, DOI 10.1002/tox.20469; Messineo V, 2009, LIMNOLOGICA, V39, P95, DOI 10.1016/j.limno.2008.09.001; Metcalf JS, 2020, TOXINS, V12, DOI 10.3390/toxins12100629; Metcalf JS, 2000, FEMS MICROBIOL LETT, V189, P155, DOI 10.1016/S0378-1097(00)00270-6; Mohamed ZA, 2009, FEMS MICROBIOL ECOL, V69, P98, DOI 10.1111/j.1574-6941.2009.00683.x; Molica RJR, 2005, HARMFUL ALGAE, V4, P743, DOI 10.1016/j.hal.2004.11.001; Moraes ACN, 2021, GEN COMP ENDOCR, V313, DOI 10.1016/j.ygcen.2021.113891; Nakamura K, 2000, J CELL BIOL, V150, P731, DOI 10.1083/jcb.150.4.731; NAKANO M, 1989, MICROBIOL IMMUNOL, V33, P787, DOI 10.1111/j.1348-0421.1989.tb00964.x; de Moraes ACN, 2022, ENVIRON TOXICOL PHAR, V94, DOI 10.1016/j.etap.2022.103915; National Institute for Environmental Studies, 2011, MICR CULT COLL NAT I; O'Neil JM, 2012, HARMFUL ALGAE, V14, P313, DOI 10.1016/j.hal.2011.10.027; Oberholster PJ, 2009, ECOTOX ENVIRON SAFE, V72, P1177, DOI 10.1016/j.ecoenv.2008.12.014; Onyango David M., 2020, Lakes &amp; Reservoirs Research and Management, V25, DOI 10.1111/lre.12328; Oziol L, 2010, J HAZARD MATER, V174, P610, DOI 10.1016/j.jhazmat.2009.09.095; Paerl HW, 2018, TOXINS, V10, DOI 10.3390/toxins10020076; Pahan K, 1998, J BIOL CHEM, V273, P12219, DOI 10.1074/jbc.273.20.12219; Palikova M, 2004, ACTA VET BRNO, V73, P259, DOI 10.2754/avb200473020259; Papadimitriou T, 2012, ECOTOXICOLOGY, V21, P1155, DOI 10.1007/s10646-012-0870-y; Park H, 2011, ARCH BIOCHEM BIOPHYS, V510, P101, DOI 10.1016/j.abb.2011.02.019; Paskerova H, 2012, ENVIRON SCI POLLUT R, V19, P2024, DOI 10.1007/s11356-012-0960-7; Pearson L, 2010, MAR DRUGS, V8, P1650, DOI 10.3390/md8051650; Posch T, 2012, NAT CLIM CHANGE, V2, P809, DOI [10.1038/NCLIMATE1581, 10.1038/nclimate1581]; Preussel K, 2006, TOXICON, V47, P156, DOI 10.1016/j.toxicon.2005.10.013; Prieto AI, 2006, AQUAT TOXICOL, V77, P314, DOI 10.1016/j.aquatox.2005.12.012; Qiao Q, 2016, ENVIRON POLLUT, V219, P119, DOI 10.1016/j.envpol.2016.10.029; Qiao Q, 2013, AQUAT TOXICOL, V142, P272, DOI 10.1016/j.aquatox.2013.07.002; Qiao Q, 2013, CHEMOSPHERE, V90, P1167, DOI 10.1016/j.chemosphere.2012.09.025; Qin BQ, 2010, ENVIRON MANAGE, V45, P105, DOI 10.1007/s00267-009-9393-6; Rantala A, 2006, APPL ENVIRON MICROB, V72, P6101, DOI 10.1128/AEM.01058-06; Rastogi RP, 2015, FRONT MICROBIOL, V6, DOI 10.3389/fmicb.2015.01254; Riedl SJ, 2004, NAT REV MOL CELL BIO, V5, P897, DOI 10.1038/nrm1496; ROBINSON NA, 1991, J PHARMACOL EXP THER, V256, P176; Rogers ED, 2011, ENVIRON SCI TECHNOL, V45, P1962, DOI 10.1021/es103538b; Rymuszka A, 2013, J APPL TOXICOL, V33, P1294, DOI 10.1002/jat.2791; Rymuszka A, 2012, FISH SHELLFISH IMMUN, V33, P382, DOI 10.1016/j.fsi.2012.05.021; Rzymski P., 2014, EUTROPHICATION CAUSE, P155; Rzymski P, 2018, ENVIRON SCI POLLUT R, V25, P15245, DOI 10.1007/s11356-018-2010-6; Rzymski P, 2014, WATER RES, V66, P320, DOI 10.1016/j.watres.2014.08.029; Sakai H, 2013, SCI WORLD J, DOI 10.1155/2013/838176; Saker ML, 1999, TOXICON, V37, P1065, DOI 10.1016/S0041-0101(98)00240-2; Savadova-Ratkus K, 2021, TOXINS, V13, DOI 10.3390/toxins13010023; Scarlett KR, 2020, SCI TOTAL ENVIRON, V738, DOI 10.1016/j.scitotenv.2020.139807; Scherer PI, 2017, MICROBIOLOGYOPEN, V6, DOI 10.1002/mbo3.393; Shahmohamadloo RS, 2022, CHEMOSPHERE, V287, DOI 10.1016/j.chemosphere.2021.132028; Shaw GR, 2000, THER DRUG MONIT, V22, P89, DOI 10.1097/00007691-200002000-00019; Shu YL, 2022, ECOTOX ENVIRON SAFE, V238, DOI 10.1016/j.ecoenv.2022.113584; Sieroslawska A, 2007, HUM EXP TOXICOL, V26, P603, DOI 10.1177/09603271060080075; Song LR, 2007, WATER RES, V41, P2853, DOI 10.1016/j.watres.2007.02.013; Sotton B, 2017, SCI REP-UK, V7, DOI 10.1038/s41598-017-04423-z; Steiner K, 2016, ARCH TOXICOL, V90, P1129, DOI 10.1007/s00204-015-1544-3; Steiner K, 2014, TOXICOL APPL PHARM, V280, P534, DOI 10.1016/j.taap.2014.08.031; SUMPTER JP, 1995, ENVIRON HEALTH PERSP, V103, P173, DOI 10.2307/3432529; Sun HJ, 2011, BIOCHEM SYST ECOL, V39, P536, DOI 10.1016/j.bse.2011.08.001; Svircev Z, 2019, ARCH TOXICOL, V93, P2429, DOI 10.1007/s00204-019-02524-4; Tamura RE, 2012, CURR MOL MED, V12, P634; Vilar M, 2022, TOXICS, V10, DOI 10.3390/toxics10110648; Walls JT, 2018, SCI TOTAL ENVIRON, V610, P786, DOI 10.1016/j.scitotenv.2017.08.149; Wang HJ, 2021, INNOVATION-AMSTERDAM, V2, DOI 10.1016/j.xinn.2021.100092; Wang JY, 2022, WATER-SUI, V14, DOI 10.3390/w14040667; Wang L, 2006, COMP BIOCHEM PHYS C, V144, P216, DOI 10.1016/j.cbpc.2006.08.009; Wang LK, 2020, TOXINS, V12, DOI 10.3390/toxins12050282; Wang PJ, 2005, TOXICON, V45, P303, DOI 10.1016/j.toxicon.2004.10.016; Wang XT, 2012, TOXICON, V59, P205, DOI 10.1016/j.toxicon.2011.12.001; WATANABE M, 1985, Bulletin of the National Science Museum Series B (Botany), V11, P137; WATANABE M, 1991, Bulletin of the National Science Museum Series B (Botany), V17, P141; Wei LL, 2009, ENVIRON BIOL FISH, V85, P231, DOI 10.1007/s10641-009-9488-1; Wejnerowski L, 2018, ECOTOXICOLOGY, V27, P752, DOI 10.1007/s10646-018-1957-x; Wiegand C, 1999, ENVIRON TOXICOL, V14, P89; Willen E, 2011, INLAND WATERS, V1, P81, DOI 10.5268/IW-1.2.391; Wu JL, 2020, AQUAT TOXICOL, V225, DOI 10.1016/j.aquatox.2020.105526; Wu JX, 2019, ENVIRON TOXICOL, V34, P1074, DOI 10.1002/tox.22808; Wu L, 2016, AQUAT TOXICOL, V178, P72, DOI 10.1016/j.aquatox.2016.07.010; Wu YL, 2019, TOXICOL APPL PHARM, V377, DOI 10.1016/j.taap.2019.114626; Xia H, 2018, FISH SHELLFISH IMMUN, V78, P383, DOI 10.1016/j.fsi.2018.04.023; Xiao M, 2018, BIOL REV, V93, P1399, DOI 10.1111/brv.12401; Zeng C, 2014, AQUAT TOXICOL, V149, P25, DOI 10.1016/j.aquatox.2014.01.021; Zhan CH, 2020, ENVIRON POLLUT, V259, DOI 10.1016/j.envpol.2019.113843; Zhan CH, 2020, J HAZARD MATER, V386, DOI 10.1016/j.jhazmat.2019.121939; Zhang DW, 2009, SCI TOTAL ENVIRON, V407, P2191, DOI 10.1016/j.scitotenv.2008.12.039; Zhang H, 2008, FISH PHYSIOL BIOCHEM, V34, P307, DOI 10.1007/s10695-007-9189-7; Zhang Q, 2017, SCI TOTAL ENVIRON, V575, P513, DOI 10.1016/j.scitotenv.2016.09.011; Zhang SS, 2016, FRONT PHYSIOL, V7, DOI 10.3389/fphys.2016.00527; Zhang YY, 2019, FISH SHELLFISH IMMUN, V89, P586, DOI 10.1016/j.fsi.2019.04.039; Zhang YY, 2021, ECOTOX ENVIRON SAFE, V223, DOI 10.1016/j.ecoenv.2021.112610; Zhong YC, 2020, FRONT PHYSIOL, V11, DOI 10.3389/fphys.2020.00316</t>
  </si>
  <si>
    <t>2305-6304</t>
  </si>
  <si>
    <t>Toxics</t>
  </si>
  <si>
    <t>10.3390/toxics11020118</t>
  </si>
  <si>
    <t>Environmental Sciences; Toxicology</t>
  </si>
  <si>
    <t>Environmental Sciences &amp; Ecology; Toxicology</t>
  </si>
  <si>
    <t>9K1LE</t>
  </si>
  <si>
    <t>WOS:000940634200001</t>
  </si>
  <si>
    <t>Goldschmidt, T; Pimiento-Ortega, MG; Herrera-Martinez, Y</t>
  </si>
  <si>
    <t>Goldschmidt, Tom; Giovana Pimiento-Ortega, Mabel; Herrera-Martinez, Yimy</t>
  </si>
  <si>
    <t>Correction of the description of Tartarothyas xiua sp. nov. Goldschmidt, Pimiento-Ortega &amp; Herrera-Martinez, 2021 (Acari, Hydrachnidia, Hydryphantidae)</t>
  </si>
  <si>
    <t>SPIXIANA</t>
  </si>
  <si>
    <t>[Goldschmidt, Tom] Bavarian State Collect Zool, SNSB ZSM, Sect Arthropodavaria, Munchhausenstr 21, D-81247 Munich, Germany; [Giovana Pimiento-Ortega, Mabel; Herrera-Martinez, Yimy] UPTC, Sch Biol, Res Grp Manejo Integrado Ecosistemas &amp; Biodiversi, Ave Cent Norte 39-115, Tunja 150001, Boyaca, Colombia</t>
  </si>
  <si>
    <t>Goldschmidt, T (corresponding author), Bavarian State Collect Zool, SNSB ZSM, Sect Arthropodavaria, Munchhausenstr 21, D-81247 Munich, Germany.</t>
  </si>
  <si>
    <t>tomgoldschmidt@web.de; mabel.pimiento@uptc.edu.co; yimyherrera@gmail.com</t>
  </si>
  <si>
    <t>Goldschmidt T, 2021, SPIXIANA, V44, P243; International Commission on Zoological Nomenclature, 1999, ICZN INT COD ZOOL NO, VFourth</t>
  </si>
  <si>
    <t>VERLAG DR FRIEDRICH PFEIL</t>
  </si>
  <si>
    <t>WOLFRATSHAUSER STRASSE 27, MUNICH, D-81379, GERMANY</t>
  </si>
  <si>
    <t>0341-8391</t>
  </si>
  <si>
    <t>Spixiana</t>
  </si>
  <si>
    <t>Biology; Zoology</t>
  </si>
  <si>
    <t>Life Sciences &amp; Biomedicine - Other Topics; Zoology</t>
  </si>
  <si>
    <t>8N4PL</t>
  </si>
  <si>
    <t>WOS:000925131600014</t>
  </si>
  <si>
    <t>Lessons for the Implementability and Sustainability of the SURG-Africa Model of Malawi in Colombia Comment on Improving Access to Surgery Through Surgical Team Mentoring - Policy Lessons From Group Model Building With Local Stakeholders in Malawi</t>
  </si>
  <si>
    <t>Health Management; Healthcare Policies; Implementation; Quality in Healthcare; Latin America</t>
  </si>
  <si>
    <t>The development of models that allow improving the quality to achieve person-centered care is a challenge for any health system, especially in low- and middle-income countries, due to the economic difficulties inherent to the countries and to the cost involved in its implementation, which should be assumed by the states, avoiding that the economic burden is assumed by the population, and approaching the goal of universal health coverage. The availability of human talent and efficiency in the use of basic and specialized human talent is a necessity to improve safe access to health services, in this sense, the model proposed by SURG-Africa and whose sustainability in Malawi was evaluated, is an important reference for the establishment and sustainability of these models with other specialties and in other countries. Through this article, the elements of education, care model and financing for the implementation of the strategy in family medicine in the Colombian health system are explored.</t>
  </si>
  <si>
    <t>[Moreno, Jaime Hernan Rodriguez; Velandia, Jesus; Igua, Diana] Univ Pedagog Tecnolog Colombia UPTC, Dept Family Med, Tunja, Colombia</t>
  </si>
  <si>
    <t>Moreno, JHR (corresponding author), Univ Pedagog Tecnolog Colombia UPTC, Dept Family Med, Tunja, Colombia.</t>
  </si>
  <si>
    <t>Broekhuizen H, 2021, INT J HEALTH POLICY, DOI 10.34172/ijhpm.2021.78; Catalyst N, 2018, NEJM CAT INN CAR DEL, DOI [10.1056/CAT.18.0245, DOI 10.1056/CAT.18.0245]; Kyeremanteng K, 2019, CRIT CARE RES PRACT, V2019, DOI 10.1155/2019/8943972; Ministerio de Salud y Proteccion Social, 2015, PROGRAMA NACL SALUD; Ministerio de Salud y Proteccion Social, 2015, MOD INT AT SAL MIAS; Verma Amol, 2016, Healthc Pap, V15, P9; World health Organization (WHO), 2020, QUAL HLTH SERV PLANN, P56; Zurro AM, 2018, ATENCION FAMILIAR SA, V2nd</t>
  </si>
  <si>
    <t>6Q7AH</t>
  </si>
  <si>
    <t>WOS:000891762600041</t>
  </si>
  <si>
    <t>Paz, CG; Lares, M; Sandoval, J; Hernandez, MS</t>
  </si>
  <si>
    <t>Gutierrez Paz, Carina; Lares, Mary; Sandoval, Jorge; Hernandez, Maria S.</t>
  </si>
  <si>
    <t>PROTEIN ISOLATE EXTRACTION FROM QUINOA (Chenopodium quinua: Blanca Junin variety) FOR USE IN HIGH PROTEIN SUPPLEMENTS</t>
  </si>
  <si>
    <t>Quinoa is a pseudocereal that is recognized by the FAO as a powerful tool in the fight against hunger, poverty, and malnutrition, problems that affect two-thirds of the planet's inhabitants. Its high protein content, containing all essential amino acids, especially histidine and lysine (limited amino acids in cereals), provides an alternative to animal protein in cases of juvenile malnutrition. The present study aimed to obtain a protein iso-late from quinoa, Chenopodium quinoa: Blanca Junin variety, grown in Boyaca, Colombia (with four different methods), for use as an alternative in protein supplement products. The extraction process was carried out by applying: 1) enzymatic method in pre-cooked quinoa flour degreased with petroleum ether, 2) isoelectric precipitation in pre-cooked quinoa flour degreased with petroleum ether, 3) isoelectric precipitation and ultrasound applications to destarched quinoa flour, and 4) isoelectric precipitation in pre-cooked, destarched quinoa flour. The third method obtained the highest protein concentration, 72.4%, and is recommended for use in food because solvents can leave residues that are harmful to consumer health. Supplements made with this protein isolate can be employed not only in patients with malnutrition but also by athletes, among other uses.</t>
  </si>
  <si>
    <t>[Gutierrez Paz, Carina] Univ Nacl Colombia, Ciencia &amp; Tecnol Alimentos, Bogota, Colombia; [Gutierrez Paz, Carina] Pontificia Univ Javeriana, Calidad, Bogota, Colombia; [Gutierrez Paz, Carina] Calle 146F 73 A-20 Int 12-604, Bogota 111156, Colombia; [Lares, Mary] Univ Cent Venezuela, Ciencia &amp; Tecnol Alimentos, Caracas, Venezuela; [Lares, Mary] Univ Cent Venezuela, Caracas, Venezuela; [Lares, Mary] Hosp Mil Univ Dr Carlos Arvelo, Serv Endocrinol &amp; Enfermedades Metab, Caracas, Venezuela; [Sandoval, Jorge] Univ INCCA, Alimentos, Bogota, Colombia; [Sandoval, Jorge] Univ Pedag &amp; Tecnol Colombia, Seguridad &amp; Calidad Alimentaria, Bogota, Colombia; [Sandoval, Jorge] Univ Nacl Colombia, Bogota, Colombia; [Hernandez, Maria S.] Univ Los Andes, Bogota, Colombia; [Hernandez, Maria S.] Univ Nacl Colombia, Ciencias Agr, Bogota, Colombia; [Hernandez, Maria S.] Univ Nacl Colombia, Inst Ciencia &amp; Tecnol Alimentos, Bogota, Colombia</t>
  </si>
  <si>
    <t>Universidad Nacional de Colombia; Pontificia Universidad Javeriana; University of Central Venezuela; University of Central Venezuela; Universidad Pedagogica y Tecnologica de Colombia (UPTC); Universidad Nacional de Colombia; Universidad de los Andes (Colombia); Universidad Nacional de Colombia; Universidad Nacional de Colombia</t>
  </si>
  <si>
    <t>Paz, CG (corresponding author), Univ Nacl Colombia, Ciencia &amp; Tecnol Alimentos, Bogota, Colombia.;Paz, CG (corresponding author), Pontificia Univ Javeriana, Calidad, Bogota, Colombia.;Paz, CG (corresponding author), Calle 146F 73 A-20 Int 12-604, Bogota 111156, Colombia.</t>
  </si>
  <si>
    <t>cgutierrezp@unal.edu.co; marylares@hotmail.com; jlsandovals@unal.edu.co; mshernandez@unal.edu.co</t>
  </si>
  <si>
    <t>Ali A, 2019, WHEY PROTEINS: FROM MILK TO MEDICINE, P579, DOI 10.1016/B978-0-12-812124-5.00017-5; Alvarez Gavilanez JJ, 2019, REV UNIANDES CIENC S, V2, P72; Bergesse AE, 2015, APROVECHAMIENTO INTE; Brena Diaz DA, 2018, THESIS U NACL AGRARI; Elsohaimy S. A., 2015, Annals of Agricultural Science (Cairo), V60, P297, DOI 10.1016/j.aoas.2015.10.007; FAO, 2013, 2013 INT YEAR QUIN S; FAO-ALADI, 2013, MEM SEM INT QUIN AL; Romani-Moron MJ, 2019, SCI AGROPEC, V10, P293, DOI 10.17268/sci.agropecu.2019.02.15; Padron Pereira CA, 2014, REV VENEZ CIENC TECN, V5, P166; Pezua Cespedes R, 2017, THESIS U NACL JOSE M; Rivera Figueroa MM, 2006, THESIS U CHILE; Rosas-Mendoza ME, 2017, MEMORIAS CONGRESOS S, P52; Tapia MS, 2012, J CELL PLAST, V48, P526, DOI 10.1177/0021955X12445291; Vasquez J. M. M., 2016, Ciencia y Tecnologia de Alimentos, V26, P60; Vilcacundo R, 2017, PLANT FOOD HUM NUTR, V72, P294, DOI 10.1007/s11130-017-0626-1; Waglay A, 2019, LWTFOOD SCI TECHNOL, V113, P1</t>
  </si>
  <si>
    <t>3Q1LO</t>
  </si>
  <si>
    <t>WOS:000837995800005</t>
  </si>
  <si>
    <t>Geraily, G; Elmtalab, S; Mohammadi, N; Alirezaei, Z; Martinez-Ovalle, SA; Jabbari, I; Vega-Carrillo, HR; Karimi, AH</t>
  </si>
  <si>
    <t>Geraily, Ghazale; Elmtalab, Soheil; Mohammadi, Najmeh; Alirezaei, Zahra; Martinez-Ovalle, S. A.; Jabbari, Iraj; Vega-Carrillo, Hector Rene; Karimi, Amir Hossein</t>
  </si>
  <si>
    <t>Monte Carlo evaluation of out-of-field dose in 18 MV pelvic radiotherapy using a simplified female MIRD phantom</t>
  </si>
  <si>
    <t>BIOMEDICAL PHYSICS &amp; ENGINEERING EXPRESS</t>
  </si>
  <si>
    <t>radiotherapy; out-of-field dose; secondary cancer; Monte Carlo; MCNPX (R)</t>
  </si>
  <si>
    <t>SECONDARY-CANCER RISK; RADIATION-THERAPY; NEUTRON-SPECTRA; INTENSITY; PHOTON; BEAM; CARCINOMA; IMPACT</t>
  </si>
  <si>
    <t>This study was devoted to determining the unwanted dose due to scattered photons to the out-of-field organs and subsequently estimate the risk of secondary cancers in the patients undergoing pelvic radiotherapy. A typical 18 MV Medical Linear Accelerator (Varian Clinac 2100 C/D) was modeled using MCNPX (R) code to simulate pelvic radiotherapy with four treatment fields: anterior-posterior, posterior-anterior, right lateral, left lateral. Dose evaluation was performed inside Medical Internal Radiation Dose (MIRD) revised female phantom. The average photon equivalent dose in out-of-field organs is 8.53 mSv Gy(-1), ranging from 0.17 to 72.11 mSv Gy(-1), respectively, for the organs far from the Planning Treatment Volume (Brain) and those close to the treatment field (Colon). Evidence showed that colon with 4.3049% and thyroid with 0.0020% have the highest and lowest risk of secondary cancer, respectively. Accordingly, this study introduced the colon as an organ with a high risk of secondary cancer which should be paid more attention in the follow-up of patients undergoing pelvic radiotherapy. The authors believe that this simple Monte Carlo (MC) model can be also used in other radiotherapy plans and mathematical phantoms with different ages (from childhood to adults) to estimate the out-of-field dose. The extractable information by this simple MC model can be also employed for providing libraries for user-friendly applications (e.g. '.apk') which in turn increase the public knowledge about fatal cancer risk after radiotherapy and subsequently decrease the concerns in this regard among the public.</t>
  </si>
  <si>
    <t>[Geraily, Ghazale; Karimi, Amir Hossein] Univ Tehran Med Sci, Sch Med, Dept Med Phys &amp; Biomed Engn, Tehran, Iran; [Elmtalab, Soheil] Isfahan Univ Med Sci, Sch Med, Dept Med Phys, Esfahan, Iran; [Mohammadi, Najmeh] Sahand Univ Technol, Fac Sci, Dept Phys, Tabriz, Iran; [Alirezaei, Zahra] Bushehr Univ Med Sci, Sch Paramed, Bushehr, Iran; [Martinez-Ovalle, S. A.] Univ Pedag &amp; Tecnol Colombia, Boyaca, Tunja, Boyaca, Colombia; [Jabbari, Iraj] Univ Isfahan, Fac Phys, Dept Nucl Engn, Esfahan, Iran; [Vega-Carrillo, Hector Rene] Univ Autonomous Zacatecas, Acad Unit Nucl Studies, 10 Cipres St, Zacatecas 98068, Zacatecas, Mexico</t>
  </si>
  <si>
    <t>Tehran University of Medical Sciences; Isfahan University Medical Science; Sahand University of Technology; Universidad Pedagogica y Tecnologica de Colombia (UPTC); University of Isfahan</t>
  </si>
  <si>
    <t>Karimi, AH (corresponding author), Univ Tehran Med Sci, Sch Med, Dept Med Phys &amp; Biomed Engn, Tehran, Iran.</t>
  </si>
  <si>
    <t>amirhosseinkarimi.phd@gmail.com</t>
  </si>
  <si>
    <t>Karimi, Amir Hossein/F-3338-2018; Vega-Carrillo, Hector Rene/O-9346-2014</t>
  </si>
  <si>
    <t>Karimi, Amir Hossein/0000-0002-1598-8934; Martinez Ovalle, Segundo Agustin/0000-0003-3044-3008; Vega-Carrillo, Hector Rene/0000-0002-7081-9084</t>
  </si>
  <si>
    <t>Tehran University of Medical Sciences [97-02-30-38668]</t>
  </si>
  <si>
    <t>Tehran University of Medical Sciences(Tehran University of Medical Sciences)</t>
  </si>
  <si>
    <t>The work was supported by Tehran University of Medical Sciences [Grant number 97-02-30-38668].</t>
  </si>
  <si>
    <t>Brenner DJ, 2000, CANCER, V88, P398, DOI 10.1002/(SICI)1097-0142(20000115)88:2&lt;398::AID-CNCR22&gt;3.0.CO;2-V; Chegeni Nahid, 2018, J Med Signals Sens, V8, P175, DOI 10.4103/jmss.JMSS_13_18; CORN BW, 1994, J CLIN ONCOL, V12, P510, DOI 10.1200/JCO.1994.12.3.510; DAS IJ, 1992, MED PHYS, V19, P917, DOI 10.1118/1.596779; Elmtalab S, 2021, INT J RADIAT RES, V19, P569, DOI 10.18869/acadpub.ijrr.19.3.569; Farhood B, 2020, HEALTH PHYS, V118, P65, DOI 10.1097/HP.0000000000001130; Ghasemi-Jangjoo A, 2020, REP PRACT ONCOL RADI, V25, P187, DOI 10.1016/j.rpor.2019.12.029; Gold DG, 2004, CANCER, V100, P212, DOI 10.1002/cncr.11870; GREENE D, 1983, BRIT J RADIOL, V56, P543, DOI 10.1259/0007-1285-56-668-543; Han EY, 2006, HEALTH PHYS, V90, P337, DOI 10.1097/01.HP.0000192318.13190.c4; Howell RM, 2010, PHYS MED BIOL, V55, P6999, DOI 10.1088/0031-9155/55/23/S03; Howell RM, 2006, MED PHYS, V33, P360, DOI 10.1118/1.2140119; International Commission on Radiological Protection, 2002, 89 ICRP; Karimi AH, 2021, MED PHYS, V48; Karimi AH., 2019, J ISFAHAN MED SCH IN, V37, P222; Karimi AH., 2019, 105 SCI ASS ANN MEET; Karimi AH, 2020, APPL RADIAT ISOTOPES, V158, DOI 10.1016/j.apradiso.2020.109064; Karimi AH, 2019, APPL RADIAT ISOTOPES, V145, P24, DOI 10.1016/j.apradiso.2018.12.007; KASE KR, 1983, INT J RADIAT ONCOL, V9, P1177, DOI 10.1016/0360-3016(83)90177-3; Khabaz R, 2020, APPL RADIAT ISOTOPES, V163, DOI 10.1016/j.apradiso.2020.109232; Khabaz R, 2018, APPL RADIAT ISOTOPES, V133, P88, DOI 10.1016/j.apradiso.2017.12.023; Kry SF, 2005, INT J RADIAT ONCOL, V62, P1204, DOI 10.1016/j.ijrobp.2004.12.091; Kry SF, 2009, RADIOTHER ONCOL, V91, P132, DOI 10.1016/j.radonc.2008.11.020; Martinez-Ovalle SA, 2011, RADIAT PROT DOSIM, V147, P498, DOI 10.1093/rpd/ncq501; *NAT COUNC RAD PRO, 1993, 116 NCRP; Pelowitz D.B., 2011, MCNPX VERSION 2 7 0; PEREZ CA, 1984, CANCER, V54, P235, DOI 10.1002/1097-0142(19840715)54:2&lt;235::AID-CNCR2820540210&gt;3.0.CO;2-H; Roeske JC, 2000, INT J RADIAT ONCOL, V48, P1613, DOI 10.1016/S0360-3016(00)00771-9; Ron E, 2003, HEALTH PHYS, V85, P47, DOI 10.1097/00004032-200307000-00011; Ruben JD, 2014, INT J RADIAT ONCOL, V90, P645, DOI 10.1016/j.ijrobp.2014.05.052; Sanchez-Nieto B, 2020, MED PHYS, V47, P4616, DOI 10.1002/mp.14356; Sitathanee C, 2021, J RADIAT RES, V62, P707, DOI 10.1093/jrr/rrab038; White D., 1992, J INT COMMISSION RAD, Vos-25, DOI [10.1093/jicru/os24.1.Report46, DOI 10.1093/JICRU/OS24.1.REPORT46]</t>
  </si>
  <si>
    <t>IOP Publishing Ltd</t>
  </si>
  <si>
    <t>BRISTOL</t>
  </si>
  <si>
    <t>TEMPLE CIRCUS, TEMPLE WAY, BRISTOL BS1 6BE, ENGLAND</t>
  </si>
  <si>
    <t>2057-1976</t>
  </si>
  <si>
    <t>BIOMED PHYS ENG EXPR</t>
  </si>
  <si>
    <t>Biomed. Phys. Eng. Express</t>
  </si>
  <si>
    <t>10.1088/2057-1976/ac35a1</t>
  </si>
  <si>
    <t>Radiology, Nuclear Medicine &amp; Medical Imaging</t>
  </si>
  <si>
    <t>WU7NQ</t>
  </si>
  <si>
    <t>WOS:000716728500001</t>
  </si>
  <si>
    <t>Lucas, EJ; Haigh, AL; Castellanos, C; Aguilar-Cano, J; Biggs, N; Castellanos, CC; Fabriani, F; Frisby, S; Garcia, L; Klitgard, BB; Morales-Puentes, ME; Parra-O, C; Escobar, O; Zuluaga, ALEJANDRO; Lewis, GP</t>
  </si>
  <si>
    <t>Lucas, Eve J.; Haigh, Anna L.; Castellanos, Cesar; Aguilar-Cano, Jose; Biggs, Nicola; Castellanos, Carolina C.; Fabriani, Federico; Frisby, Susan; Garcia, Lina; Klitgard, Bente B.; Morales-Puentes, Maria Eugenia; Parra-O., Carlos; Perez- Escobar, Oscar; Zuluaga, Alejandro; Lewis, Gwilym P.</t>
  </si>
  <si>
    <t>An updated checklist of Araceae, Leguminosae and Myrtaceae of the department of Boyac?, Colombia, including keys to genera and new occurrence records</t>
  </si>
  <si>
    <t>Angiosperms; Fabaceae; Middle Magdalena Valley; Neotropics; Taxonomy</t>
  </si>
  <si>
    <t>Baseline checklists for the Leguminosae (Fabaceae), Araceae and Myrtaceae from the Colombian department of Boyaca are available from the Catalogue of Plants and Lichens of Colombia. These lists were supplemented by thorough herbarium and literature searches by a collaborative group of local and international experts, and further enhanced by local field collections. The result is authoritative taxonomic checklists for the three families including data regarding habit, plant uses and species conservation risk assessments for a subset of species. The checklists have notably increased the number of species reported from Boyaca and provide reliable, taxonomically up-to-date inventories for those families. Checklists are based on speci-mens vouchered in local herbaria and revised specimen metadata is lodged in the Colombian biological information platform CEIBA. The initiative demonstrates how relatively low levels of funding allow taxonomic experts working in networks to rapidly improve the taxonomic understanding of angiosperm species diversity in megadiverse countries like Colombia.</t>
  </si>
  <si>
    <t>[Lucas, Eve J.; Haigh, Anna L.; Castellanos, Cesar; Aguilar-Cano, Jose; Biggs, Nicola; Frisby, Susan; Klitgard, Bente B.; Morales-Puentes, Maria Eugenia] Royal Bot Gardens, Richmond TW9 3AE, Surrey, England; [Castellanos, Cesar; Biggs, Nicola] Fdn Univ San Gil, Grp Invest GEASID, UNISANGIL, San Gil, Colombia; [Aguilar-Cano, Jose] Inst Invest Recursos Biol Alexander von Humboldt, Berlin, Germany; [Castellanos, Carolina C.; Morales-Puentes, Maria Eugenia] Univ Pedag &amp; Tecnol Colombia, Grp Sistemat Biol, Herbario UPTC, Tunja, Colombia; [Frisby, Susan] Univ Nacl Colombia, Inst Ciencias Nat, Bogota, Colombia; [Parra-O., Carlos] Univ Valle, Dept Biol, Cali, Colombia; [Klitgard, Bente B.] Univ Ghent, Dept Biol, Systemat &amp; Evolutionary Bot lab, KL Ledeganckstr 35, B-9000 Ghent, Belgium</t>
  </si>
  <si>
    <t>Royal Botanic Gardens, Kew; Universidad Pedagogica y Tecnologica de Colombia (UPTC); Universidad Nacional de Colombia; Universidad del Valle; Ghent University</t>
  </si>
  <si>
    <t>Lucas, EJ (corresponding author), Royal Bot Gardens, Richmond TW9 3AE, Surrey, England.</t>
  </si>
  <si>
    <t>E.Lucas@kew.org; a.haigh@kew.org; cesarcas1a@gmail.com; jose.aguilarcano@gmail.com; n.biggs@kew.org; ccastellanos@humboldt.org.co; federico.fabriani@UGent.be; s.frisby@kew.org; lgarcia@humboldt.org.co; b.klitgaard@kew.org; maria.morales@uptc.edu.co; caparrao@unal.edu.co; o.perez-escobar@kew.org; zuluaga.alejandro@correounivalle.edu.co; g.lewis@kew.org</t>
  </si>
  <si>
    <t>UK government department BEIS (Business, Energy, and Industrial Strategy) Newton Caldas fund; Colombia department of Science, Technology and Innovation COLCIENCIAS; local Boyaca initiative BoyacaBio</t>
  </si>
  <si>
    <t>In Colombia, Leidy Galvis, Giovani Sotelo, and Wilderson Medina are gratefully acknowledged for logistical assistance without which this work would not have been possible. Jose Murillo Aldana and Humberto Mendoza kindly provided access to databases of Boyaca specimens from the COL and FMB herbaria respectively. In Kew, Catia Canteiro, Emma Williams, Alex Roberts and Amy Barker prepared the Species Extinction Risk Assessments. The 2017-2018 international plant collecting expedition in Boyaca was supported by the UK government department BEIS (Business, Energy, and Industrial Strategy) Newton Caldas fund, in partnership with the Colombia department of Science, Technology and Innovation COLCIENCIAS and local Boyaca initiative BoyacaBio.</t>
  </si>
  <si>
    <t>[Anonymous], 2009, ESTUDIOS LEGUMINOSAS, V21, P1; [Anonymous], 2022, WCSP WORLD CHECKL SE; [Anonymous], 2017, GBIF THE GLOBAL BIOD; Azani N, 2017, TAXON, V66, P44, DOI 10.12705/661.3; Balcazar-Vargas M. P., 2000, CALDASIA, V22, P191; Bernal R., 2016, CATALOGO PLANTAS LIQ, V1, P1509; BirdLife International, 2018, IMPORTANT BIRD AREAS; Boyce P. C., 2011, UBERLIST ARACEAE TOT; Cardona F, 2004, ANN MO BOT GARD, V91, P448; Castellanos C, 2021, BRITTONIA, V73, P431, DOI 10.1007/s12228-021-09677-6; Castellanos Cesar, 2012, Rev. acad. colomb. cienc. exact. fis. nat., V36, P141; Christenhusz MJM, 2017, PLANTS WORLD ILLUSTR, DOI [DOI 10.7208/CHICAGO/9780226536705.001.0001, 10.7208/chicago/9780226536705.001.0001]; COOPER MA, 1995, AAPG BULL, V79, P1421; Croat T.B., 2017, AROIDEANA, V40, P504; CROAT TB, 1992, ANN MO BOT GARD, V79, P17, DOI 10.2307/2399806; dos Santos LL, 2021, INT J PLANT SCI, V182, P778, DOI 10.1086/715639; Duque-Caro H, 1990, J S AM EARTH SCI, V3, P71, DOI DOI 10.1016/0895-9811(90)90019-W; Etter A, 2006, AGR ECOSYST ENVIRON, V114, P369, DOI 10.1016/j.agee.2005.11.013; Fantz P.R., 1977, THESIS U FLORIDA USA; Forero E., 2005, ESTUDIOS LEGUMINOSAS, P1; GENTRY A H, 1986, Caldasia, V15, P71; Govaerts R., 2007, WORLD CHECKLIST SELE; Grifo F.T., 1992, THESIS CORNELL U NEW; Helmer EH, 2019, PLOS ONE, V14, DOI 10.1371/journal.pone.0213155; Hernandez G. L., 2011, ARACEAS MUNICIPIO TI; Hill K. D., 1995, Telopea, V6, P185; Hoorn C, 2010, SCIENCE, V330, P927, DOI 10.1126/science.1194585; Hughes CE, 2022, PHYTOKEYS, P147, DOI 10.3897/phytokeys.205.75379; ICN-Instituto de Ciencias Naturales, 2018, FAC CIENC U NACL COL; IUCN Standards and Petitions Committee, 2022, GUID US IUCN RED LIS; Koenen EJM, 2022, PHYTOKEYS, P363, DOI 10.3897/phytokeys.205.82288; Lagomarsino LP, 2016, NEW PHYTOL, V210, P1430, DOI 10.1111/nph.13920; LANDRuM L. R., 1986, FLORA NEOTROPICA, V45; LANDRUM LR, 1988, SYST BOT, V13, P120, DOI 10.2307/2419248; Mayo S. J., 1997, GENERA ARACEAE; Mora Marcela, 2007, Willdenowia, V37, P541, DOI 10.3372/wi.37.37212; Moreno L.A., 2016, BIODIVERSITY 2016 ST; Parra-O C, 2016, CATALOGO PLANTAS LIQ, VII, P1698; Perez-Escobar OA, 2018, SCIENCE, V359, P1473, DOI 10.1126/science.aat4849; Perez-Escobar OA, 2017, NEW PHYTOL, V215, P891, DOI 10.1111/nph.14629; Ruiz L.K, 2016, CATALOGO PLANTAS LIQ, VI, P1246; Staggemeier VG, 2017, BIOTROPICA, V49, P71, DOI 10.1111/btp.12358; Testo WL, 2019, NEW PHYTOL, V222, P604, DOI 10.1111/nph.15544; World Wildlife Fund (WWF), 2014, N S AM N COL EC; World Wildlife Fund (WWF), 2014, ECOREGIONS; Zuluaga A., 2011, FIELD MUSEUM CHICAGO, V281, P1</t>
  </si>
  <si>
    <t>MAR 23</t>
  </si>
  <si>
    <t>10.11646/phytotaxa.589.2.4</t>
  </si>
  <si>
    <t>D3NT6</t>
  </si>
  <si>
    <t>WOS:000967834100004</t>
  </si>
  <si>
    <t>Escobar, JW; Pena, WAH; Garcia-Caceres, RG</t>
  </si>
  <si>
    <t>Willmer Escobar, John; Hormaza Pena, William Adolfo; Guillermo Garcia-Caceres, Rafael</t>
  </si>
  <si>
    <t>Robust multiobjective scheme for closed-loop supply chains by considering financial criteria and scenarios</t>
  </si>
  <si>
    <t>Closed Supply Chain; Net Present Value (NPV); Financial Risk (FR); Epsilon Constraint; Robustness; FePIA</t>
  </si>
  <si>
    <t>NET PRESENT VALUE; OPTIMIZATION MODEL; NETWORK DESIGN; DEMAND; GREEN; DECISION</t>
  </si>
  <si>
    <t>This paper considers the closed-loop supply chain design problem by examining financial criteria and uncertainty in the parameters. A robust multiobjective optimization methodology is proposed by considering financial measures such as maximizing the net present value (NPV) and minimizing the financial risk (FR). The proposed methodology integrates various multiobjective optimization elements based on epsilon constraints and robustness measurements through the FePIA (named after the four steps of the procedure: Feature-Perturbation-Impact-Analysis) methodology. Similarly, an analysis of the parameter variability using scenarios was considered. The proposed method's efficiency was tested with real information from a multinational company operating in Colombia. The results show the effectiveness of the methodology in addressing real problems associated with supply chain design.(c) 2023 by the authors; licensee Growing Science, Canada</t>
  </si>
  <si>
    <t>[Willmer Escobar, John] Univ Valle, Dept Accounting &amp; Finance, Cali, Colombia; [Guillermo Garcia-Caceres, Rafael] Univ Pedag &amp; Tecnol UPTC, Sch Ind Engn, Tunja, Colombia</t>
  </si>
  <si>
    <t>Universidad del Valle; Universidad Pedagogica y Tecnologica de Colombia (UPTC)</t>
  </si>
  <si>
    <t>Escobar, JW (corresponding author), Univ Valle, Dept Accounting &amp; Finance, Cali, Colombia.</t>
  </si>
  <si>
    <t>john.wilmer.escobar@correounivalle.edu.co</t>
  </si>
  <si>
    <t>Alavi SH, 2018, COMPUT IND ENG, V125, P69, DOI 10.1016/j.cie.2018.08.005; Ali S, 2004, IEEE T PARALL DISTR, V15, P630, DOI 10.1109/TPDS.2004.24; Allaoui H, 2018, COMPUT OPER RES, V89, P369, DOI 10.1016/j.cor.2016.10.012; Amin SH, 2013, APPL MATH MODEL, V37, P4165, DOI 10.1016/j.apm.2012.09.039; Azaron A, 2008, INT J PROD ECON, V116, P129, DOI 10.1016/j.ijpe.2008.08.002; Bagajewicz M. J., 2003, P FDN COMPUTER AIDED, P27; Baghalian A, 2013, EUR J OPER RES, V227, P199, DOI 10.1016/j.ejor.2012.12.017; Banasik A, 2017, INT J PROD ECON, V183, P409, DOI 10.1016/j.ijpe.2016.08.012; Ben-Tal A, 1999, OPER RES LETT, V25, P1, DOI 10.1016/S0167-6377(99)00016-4; Carvajal J, 2019, COMPUT ELECTRON AGR, V157, P77, DOI 10.1016/j.compag.2018.12.030; Chen CL, 2004, COMPUT CHEM ENG, V28, P1131, DOI 10.1016/j.compchemeng.2003.09.014; Delgoshaei A., 2019, UNCERTAIN SUPPLY CHA, V7, P251, DOI [10.5267/j.uscm.2018.10.001, DOI 10.5267/J.USCM.2018.10.001]; EPPEN GD, 1989, OPER RES, V37, P517, DOI 10.1287/opre.37.4.517; Escobar John Willmer, 2020, International Journal of Mathematics in Operational Research, V16, P238; Escobar J. W., 2009, P 14 LAT AM SUMM WOR; Escobar John Willmer, 2013, Ing. Desarro., V31, P135; Escobar JW., 2017, INT J IND SYST ENG, V27, P48, DOI [10.1504/ijise.2017.10006218, DOI 10.1504/IJISE.2017.10006218]; Feizabadi Javad, 2014, International Journal of Logistics Systems and Management, V18, P473, DOI 10.1504/IJLSM.2014.063981; García-Cáceres Rafael Guillermo, 2016, Dyna rev.fac.nac.minas, V83, P68, DOI 10.15446/dyna.v83n198.44532; Guerriero F, 2014, TRANSP RES PROC, V3, P299, DOI 10.1016/j.trpro.2014.10.009; Guillen G, 2005, CHEM ENG SCI, V60, P1535, DOI 10.1016/j.ces.2004.10.023; Habibi F, 2017, J CLEAN PROD, V166, P816, DOI 10.1016/j.jclepro.2017.08.063; Heidari-Fathian H, 2018, COMPUT IND ENG, V122, P95, DOI 10.1016/j.cie.2018.05.051; Jabbarzadeh A, 2019, IEEE T ENG MANAGE, V66, P52, DOI 10.1109/TEM.2017.2749638; Juhasz L, 2011, ECON SOCIOL, V4, P46, DOI 10.14254/2071-789X.2011/4-1/5; Kim J, 2018, J CLEAN PROD, V196, P1314, DOI 10.1016/j.jclepro.2018.06.157; Klibi W, 2012, EUR J OPER RES, V223, P644, DOI 10.1016/j.ejor.2012.06.027; Kovacic D, 2017, TECHNOL ECON DEV ECO, V23, P877, DOI 10.3846/20294913.2015.1065455; Laumanns M, 2006, EUR J OPER RES, V169, P932, DOI 10.1016/j.ejor.2004.08.029; Ma RM, 2016, CHAOS SOLITON FRACT, V89, P195, DOI 10.1016/j.chaos.2015.10.028; Mafla Isabela, 2015, Rev. Fac. Ing. UCV, V30, P37; Monostori J, 2018, PROC CIRP, V67, P110, DOI 10.1016/j.procir.2017.12.185; Muchiri P, 2008, INT J PROD RES, V46, P3517, DOI 10.1080/00207540601142645; Rodado DN, 2017, INT J IND ENG COMP, V8, P237, DOI 10.5267/j.ijiec.2016.9.003; Paz J, 2015, INT J IND ENG COMP, V6, P521; Paz JC, 2019, INT J IND SYST ENG, V33, P435; Perez-Canedo B, 2020, INT J INTELL SYST, V35, P600, DOI 10.1002/int.22219; Pishvaee MS, 2011, APPL MATH MODEL, V35, P637, DOI 10.1016/j.apm.2010.07.013; Polo A, 2019, OMEGA-INT J MANAGE S, V88, P110, DOI 10.1016/j.omega.2018.09.003; Srivastava SK, 2007, INT J MANAG REV, V9, P53, DOI 10.1111/j.1468-2370.2007.00202.x; Tordecilla-Madera Rafael, 2018, International Journal of Services and Operations Management, V31, P207, DOI 10.1504/IJSOM.2018.094752; Escobar JW, 2012, REV FAC ING-UPTC, V21, P9; Escobar JW, 2017, REV FAC ING-UPTC, V26, P21, DOI 10.19053/01211129.v26.n44.2017.5769</t>
  </si>
  <si>
    <t>2022 DEC 25</t>
  </si>
  <si>
    <t>10.5267/j.ijiec.2022.12.004</t>
  </si>
  <si>
    <t>7K6CP</t>
  </si>
  <si>
    <t>WOS:000905369000001</t>
  </si>
  <si>
    <t>Gomez-Palacio, A; Pita, S; Abad-Franch, F; Monsalve, Y; Cantillo-Barraza, O; Monteiro, FA; Pavan, MG; Santos, WS; Panzera, A; Burgueno-Rodriguez, G; Panzera, F</t>
  </si>
  <si>
    <t>Gomez-Palacio, Andres; Pita, Sebastian; Abad-Franch, Fernando; Monsalve, Yoman; Cantillo-Barraza, Omar; Monteiro, Fernando A.; Pavan, Marcio G.; Santos, Walter S.; Panzera, Alejandra; Burgueno-Rodriguez, Gabriela; Panzera, Francisco</t>
  </si>
  <si>
    <t>Molecular and cytogenetic evidence for sibling species in the Chagas disease vector Triatoma maculata</t>
  </si>
  <si>
    <t>MEDICAL AND VETERINARY ENTOMOLOGY</t>
  </si>
  <si>
    <t>cryptic species; holocentric chromosomes; mitochondrial DNA; molecular systematics; phylogeography; rDNA clusters; Triatominae</t>
  </si>
  <si>
    <t>EVOLUTIONARY RELATIONSHIPS; MITOCHONDRIAL-DNA; REDUVIIDAE; HEMIPTERA; DIFFERENTIATION; BIOGEOGRAPHY; HETEROPTERA; POPULATIONS; STATE</t>
  </si>
  <si>
    <t>Triatoma maculata (Hemiptera, Reduviidae, Triatominae) occurs across dry-to-semiarid ecoregions of northern South America, where it transmits Trypanosoma cruzi, causative agent of Chagas disease. Using 207 field-caught specimens from throughout the species' range, mitochondrial(mt) DNA sequence data, and cytogenetics, we investigated interpopulation genetic diversity and the phylogenetic affinities of T. maculata. Mitochondrial DNA sequence analyses (cytb and nd4) disclosed a monophyletic T. maculata Glade encompassing three distinct geographic groups: Roraima formation (Guiana shield), Orinoco basin, and Magdalena basin (trans-Andean). Between-group cytb distances (11.0-12.8%) were larger than the similar to 7.5% expected for sister Triatoma species; the most recent common ancestor of these T. maculata groups may date back to the late Miocene. C-heterochromatin distribution and the sex-chromosome location of 45S ribosomal DNA clusters both distinguished Roraima bugs from Orinoco and Magdalena specimens. Cytb genealogies reinforced that T. maculata is not sister to Triatoma pseudomaculata and probably represents an early (middle-late Miocene) offshoot of the 'South American Triatomini lineage'. In sum, we report extensive genetic diversity and deep phylogeographic structuring in T. maculata, suggesting that it may consist of a complex of at least three sibling taxa. These findings have implications for the systematics, population biology, and perhaps medical relevance of T. maculata sensu Iato.</t>
  </si>
  <si>
    <t>[Gomez-Palacio, Andres] Univ Pedag &amp; Tecnol Colombia, Lab Invest Genet Evolut LIGE, Tunja, Colombia; [Pita, Sebastian; Panzera, Francisco] Univ Republica, Fac Ciencias, Secc Genet Evolut, Montevideo, Uruguay; [Abad-Franch, Fernando] Univ Brasilia, Fac Med, Nucleo Med Trop, Brasilia, DF, Brazil; [Abad-Franch, Fernando; Santos, Walter S.] Inst Leonidas &amp; Maria Deane Fiocruz Amazonia, Lab Ecol Doencas Transmissiveis Amazonia, Manaus, Amazonas, Brazil; [Monsalve, Yoman; Cantillo-Barraza, Omar] Univ Antioquia UdeA, Grp Biol &amp; Control Enfermedades Infecciosas BCEI, Medellin, Colombia; [Monteiro, Fernando A.; Pavan, Marcio G.] Inst Oswaldo Cruz Fiocruz, Lab Epidemiol &amp; Sistemat Mol, Rio De Janeiro, Brazil; [Pavan, Marcio G.] Inst Oswaldo Cruz Fiocruz, Lab Mosquitos Transmissores Hematozoarios, Rio De Janeiro, Brazil; [Santos, Walter S.] Minist Saude, Inst Evandro Chagas, Secretaria Vigilancia Saude, Lab Epidemiol Leishmanioses, Ananindeua, Brazil; [Panzera, Alejandra] Univ Maryland, Howard Hughes Med Inst, College Pk, MD 20742 USA; [Burgueno-Rodriguez, Gabriela] Univ Republ, Ctr Univ Reg CENUR Litoral Norte Sede Salto, Lab Genet Mol Humana, Salto, Uruguay</t>
  </si>
  <si>
    <t>Universidad Pedagogica y Tecnologica de Colombia (UPTC); Universidad de la Republica, Uruguay; Universidade de Brasilia; Fundacao Oswaldo Cruz; Universidad de Antioquia; Fundacao Oswaldo Cruz; Fundacao Oswaldo Cruz; Instituto Evandro Chagas; Howard Hughes Medical Institute; University System of Maryland; University of Maryland College Park; Universidad de la Republica, Uruguay</t>
  </si>
  <si>
    <t>Panzera, F (corresponding author), Univ Republica, Fac Ciencias, Secc Genet Evolut, Montevideo, Uruguay.</t>
  </si>
  <si>
    <t>fcopanzera@gmail.com</t>
  </si>
  <si>
    <t>Pavan, Marcio G/F-3270-2015; Pita, Sebastián/Z-6090-2019; Abad-Franch, Fernando/AAB-6729-2021</t>
  </si>
  <si>
    <t>Pavan, Marcio G/0000-0002-5699-242X; Pita, Sebastián/0000-0002-4102-5808; Gomez-Palacio, Andres/0000-0002-1069-9199; Abad-Franch, Fernando/0000-0002-7715-0328</t>
  </si>
  <si>
    <t>Comision Sectorial de Investigacion Cientifica [160]; Coordenacao de Aperfeicoamento de Pessoal de Nivel Superior [001]; Ministerio de Educacion y Cultura, Direccion Nacional de Innovacion, Ciencia y Tecnologia, Fondo Vaz Ferreira [II/FVF/2019/054]; FIOCRUZ</t>
  </si>
  <si>
    <t>Comision Sectorial de Investigacion Cientifica; Coordenacao de Aperfeicoamento de Pessoal de Nivel Superior(Coordenacao de Aperfeicoamento de Pessoal de Nivel Superior (CAPES)); Ministerio de Educacion y Cultura, Direccion Nacional de Innovacion, Ciencia y Tecnologia, Fondo Vaz Ferreira; FIOCRUZ</t>
  </si>
  <si>
    <t>Comision Sectorial de Investigacion Cientifica, Grant/Award Number: 160; Coordenacao de Aperfeicoamento de Pessoal de Nivel Superior, Grant/Award Number: Code 001; FIOCRUZ; Ministerio de Educacion y Cultura, Direccion Nacional de Innovacion, Ciencia y Tecnologia, Fondo Vaz Ferreira, Grant/Award Number: II/FVF/2019/054</t>
  </si>
  <si>
    <t>Abad-Franch F., 2010, RORAIMA HOMEM AMBIEN, P453; Abad-Franch F, 2007, MEM I OSWALDO CRUZ, V102, P57, DOI 10.1590/S0074-02762007005000108; Abad-Franch F, 2021, ENTOMOL FOCUS, P387, DOI 10.1007/978-3-030-64548-9_16; Abad-Franch F, 2021, PARASITE VECTOR, V14, DOI 10.1186/s13071-021-04647-z; Aguilera-Uribe M, 2020, INFECT GENET EVOL, V84, DOI 10.1016/j.meegid.2020.104373; Altamiranda-Saavedra M, 2020, PLOS ONE, V15, DOI 10.1371/journal.pone.0241710; Anisimova M, 2006, SYST BIOL, V55, P539, DOI 10.1080/10635150600755453; Blohm L., 2022, Journal of Parasitic Diseases, V46, P37, DOI 10.1007/s12639-021-01416-8; Campos-Soto R, 2020, PLOS ONE, V15, DOI 10.1371/journal.pone.0234056; de la Fuente ALC, 2008, ACTA TROP, V106, P16, DOI 10.1016/j.actatropica.2007.12.010; Alevi KCC, 2020, INSECTS, V11, DOI 10.3390/insects11120830; Correa R R, 1964, Arq Hig Saude Publica, V29, P115; Da Rosa JA, 2012, ZOOTAXA, P62; Diaz S, 2014, PLOS ONE, V9, DOI 10.1371/journal.pone.0087493; Dorn PL, 2018, ZOOKEYS, P69, DOI 10.3897/zookeys.775.22553; dos Santos SM, 2007, INFECT GENET EVOL, V7, P469, DOI 10.1016/j.meegid.2007.01.008; Drummond A. J., 2009, TRACER V1 5; Drummond AJ, 2007, BMC EVOL BIOL, V7, DOI 10.1186/1471-2148-7-214; Drummond AJ, 2006, PLOS BIOL, V4, P699, DOI 10.1371/journal.pbio.0040088; Drummond AJ, 2012, MOL BIOL EVOL, V29, P1969, DOI 10.1093/molbev/mss075; Dujardin J.P., 2002, VECTORES ENFERMEDAD, V25, P189; Garcia-Alzate R, 2014, FRONT PUBLIC HEALTH, V2, DOI 10.3389/fpubh.2014.00170; Gardim S, 2013, AM J TROP MED HYG, V89, P766, DOI 10.4269/ajtmh.12-0718; Gernhard T, 2008, J THEOR BIOL, V253, P769, DOI 10.1016/j.jtbi.2008.04.005; Gil-Santana HR, 2022, ZOOKEYS, P203, DOI 10.3897/zookeys.1104.81879; Gonzalez-Britez N, 2010, B MALARIOL SALUD AMB, V50, P85; Grisales N, 2010, BIOMEDICA, V30, P207, DOI 10.7705/biomedica.v30i2.184; Hebert PDN, 2003, P ROY SOC B-BIOL SCI, V270, pS96, DOI 10.1098/rsbl.2003.0025; Holsinger KE, 2009, NAT REV GENET, V10, P639, DOI 10.1038/nrg2611; Hoorn C, 2010, SCIENCE, V330, P927, DOI 10.1126/science.1194585; Justi SA, 2016, PLOS NEGLECT TROP D, V10, DOI 10.1371/journal.pntd.0004527; Justi SA, 2014, PARASITE VECTOR, V7, DOI 10.1186/1756-3305-7-149; Kieran TJ, 2021, SYST ENTOMOL, V46, P725, DOI 10.1111/syen.12485; Kieran TJ, 2020, INFECT GENET EVOL, V84, DOI 10.1016/j.meegid.2020.104369; Kumar S, 2018, MOL BIOL EVOL, V35, P1547, DOI 10.1093/molbev/msy096; Lanfear R, 2017, MOL BIOL EVOL, V34, P772, DOI 10.1093/molbev/msw260; LENT H, 1979, Bulletin of the American Museum of Natural History, V163, P123; Lima-Cordon RA, 2019, ZOOKEYS, P51, DOI 10.3897/zookeys.820.27258; Lisiecki LE, 2007, QUATERNARY SCI REV, V26, P56, DOI 10.1016/j.quascirev.2006.09.005; Luitgards-Moura José Francisco, 2005, Rev. Inst. Med. trop. S. Paulo, V47, P45, DOI 10.1590/S0036-46652005000100008; Luitgards-Moura José Francisco, 2005, Rev. Inst. Med. trop. S. Paulo, V47, P131, DOI 10.1590/S0036-46652005000300003; Lundberg John G., 1998, P13; Meier R, 2006, SYST BIOL, V55, P715, DOI 10.1080/10635150600969864; Monsalve Y, 2016, J VECTOR ECOL, V41, P72, DOI 10.1111/jvec.12196; Monteiro FA, 2004, MOL PHYLOGENET EVOL, V32, P46, DOI 10.1016/j.ympev.2003.12.011; Monteiro FA, 2003, MOL ECOL, V12, P997, DOI 10.1046/j.1365-294X.2003.01802.x; Monteiro FA, 2013, PLOS ONE, V8, DOI 10.1371/journal.pone.0070974; Monteiro FA, 2018, ADV PARASIT, V99, P265, DOI 10.1016/bs.apar.2017.12.002; Nattero J, 2016, PLOS ONE, V11, DOI 10.1371/journal.pone.0168853; Panzera F, 2021, ENTOMOL FOCUS, P65, DOI 10.1007/978-3-030-64548-9_4; Panzera F, 2015, PARASITE VECTOR, V8, DOI 10.1186/s13071-015-1109-6; Panzera Y, 2012, CYTOGENET GENOME RES, V138, P56, DOI 10.1159/000341888; Pfeiler E, 2006, MOL PHYLOGENET EVOL, V41, P209, DOI 10.1016/j.ympev.2006.07.001; Pita S, 2022, MED VET ENTOMOL, V36, P66, DOI 10.1111/mve.12552; Pita S, 2021, MEM I OSWALDO CRUZ, V116, DOI [10.1590/0074-02760210259, 10.1590/0074-027602100259]; Pita S, 2016, INFECT GENET EVOL, V43, P225, DOI 10.1016/j.meegid.2016.05.028; Poinar George Jr., 2013, Palaeodiversity, P1; Raupach MJ, 2014, PLOS ONE, V9, DOI 10.1371/journal.pone.0106940; Ricardo-Silva A, 2016, MEM I OSWALDO CRUZ, V111, P703, DOI 10.1590/0074-02760160026; Rodriguez-Mongui E, 2019, PARASITE VECTOR, V12, DOI 10.1186/s13071-019-3541-5; Schofield CJ, 2009, ACTA TROP, V110, P88, DOI 10.1016/j.actatropica.2009.01.010; Schofield C.J., 1988, Systematics Association Special Volume Series, P284; Souza ED, 2016, ZOOKEYS, P45, DOI 10.3897/zookeys.621.9662; Stamatakis A, 2014, BIOINFORMATICS, V30, P1312, DOI 10.1093/bioinformatics/btu033; Wang Y, 2015, INT J MOL SCI, V16, P12382, DOI 10.3390/ijms160612382</t>
  </si>
  <si>
    <t>0269-283X</t>
  </si>
  <si>
    <t>1365-2915</t>
  </si>
  <si>
    <t>MED VET ENTOMOL</t>
  </si>
  <si>
    <t>Med. Vet. Entomol.</t>
  </si>
  <si>
    <t>2022 DEC 21</t>
  </si>
  <si>
    <t>10.1111/mve.12633</t>
  </si>
  <si>
    <t>Entomology; Veterinary Sciences</t>
  </si>
  <si>
    <t>7F6NI</t>
  </si>
  <si>
    <t>WOS:000901961400001</t>
  </si>
  <si>
    <t>Argote, ZLP; Daza, DD; Roncancio, NR</t>
  </si>
  <si>
    <t>Paba Argote, Zuany Luz; De Castro Daza, Diana; Ramirez Roncancio, Nancy</t>
  </si>
  <si>
    <t>The dialogic nature of regulation in collaborative digital argumentative writing practices</t>
  </si>
  <si>
    <t>DIALOGIC PEDAGOGY</t>
  </si>
  <si>
    <t>social regulation; positionings; dialogic interaction; collaborative writing; digital technology</t>
  </si>
  <si>
    <t>This article discusses the dialogic nature of regulating perspectives on a controversial topic during students' argumentative writing in remote teaching. The emerging collaborative writing processes mediated by digital technology are importantly changed as responses to physical distancing in education, as demanded by the measures of biosecurity established by the national government to prevent the transmission of COVID-19. Our analysis is framed in a sociocultural perspective, which contributes to our understanding of the concepts related to dialogism, regulation, positionings on a topic, collaborative writing, and digital technology as a tool for dialogic interaction. Our qualitative, idiographic study analyzes the argumentative utterances produced by a dyad of students enrolled in a Textual Production course at a Colombian public university who write a critical commentary over four (4) weeks using Google Docs application. The findings indicate that the participants discuss and negotiate decisions in the group writing situation and that during this dialogic interaction, the ideas are influenced by the thoughts of the other. When they communicate with each other, their discourses regulate their positionings on the social situation that is the subject of the dialogue. It is also possible to identify both the possibilities of the pedagogical mode and its potential limitations for dialogic interaction, which synchronously and asynchronously facilitate or restrict the performance of the joint writing activity. It can be concluded that within the framework of remote teaching. digital technology has become a flexible mode of pedagogical practice that supports dialogic interaction, enables regulation among peers for discussion. negotiation, and positioning on a topic, and facilitates the construction of collective knowledge that emerges in argumentative collaborative writing.</t>
  </si>
  <si>
    <t>[Paba Argote, Zuany Luz] Univ Valle, Psychol, Cali, Colombia; [Paba Argote, Zuany Luz] Univ Magdalena, Magdalena, Colombia; [De Castro Daza, Diana] Univ Valle, Fac Psychol, Dept Dev Sci Cognit &amp; Neurosci, Cali, Colombia; [Ramirez Roncancio, Nancy] Univ Pedagog &amp; Tecnol Colombia, Tunja, Colombia</t>
  </si>
  <si>
    <t>Universidad del Valle; Universidad del Magdalena; Universidad del Valle; Universidad Pedagogica y Tecnologica de Colombia (UPTC)</t>
  </si>
  <si>
    <t>Argote, ZLP (corresponding author), Univ Valle, Psychol, Cali, Colombia.</t>
  </si>
  <si>
    <t>De Castro Daza, Diana Patricia/0000-0002-2213-5817</t>
  </si>
  <si>
    <t>Aiolfi G, 2020, DIALOGIC PEDAGOG, V8, pA20, DOI 10.5195/dpj.2020.235; Bakhtin M. M., 1989, TEORIA ESTETICA NOVE, P237; Bakhtin M. M., 1993, PROBLEMAS CREATIVIDA; Brandao H., 1997, BAKTHIN DIALOGISMO C, P281; Burns R, 2020, DIALOGUES HUM GEOGR, V10, P246, DOI 10.1177/2043820620930832; Almenara JC, 2021, IJERI-INT J EDUC RES, P218, DOI 10.46661/ijeri.5246; CARON J, 1983, REGULATIONS DISCOURS; Castilho A.T., 2002, GRAMATICA PORTUGUES, V2nd, P199; Chabrol C., 1994, DISCOURS TRAVAIL SOC; Gaibor DAC, 2020, REV CONRADO, V16, P341; da Silva CB, 2019, ADV INTELL SYST, V861, P248, DOI 10.1007/978-3-030-01406-3_21; De Chiaro S., 2006, THESIS ATTENA UFPE; Ferrada D, 2020, PEDAGOG CULT SOC, V28, P131, DOI 10.1080/14681366.2019.1615534; Goulart C, 2007, PRO-POSICOES, V18; Huang C. W., 2017, WRITING CTR HIGHER E, P81; Hynes G, 2014, SAGE ENCY ACTION RES, P73; Kolikant YB, 2019, DIALOGIC PEDAGOG, V7, pA89, DOI 10.5195/dpj.2019.245; Leitao S, 2007, CIENCIAS MENTE APROX, P5; Leitao S., 2001, FORUM QUALITATIVE SO, V2, DOI [10.17169/fqs-2.3.907, DOI 10.17169/FQS-2.3.907]; Leitao S, 2007, PSICOL-REFLEX CRIT, V20, P454, DOI 10.1590/S0102-79722007000300013; Linell P., 2001, APPROACHING DIALOGUE; Ludvigsen K, 2019, THINK SKILLS CREAT, V34, DOI 10.1016/j.tsc.2019.02.007; Martinez M.C., 2013, ENUNCIACION, V18, P124; Matusov E., 2009, J RUSSIAN E EUROPEAN, V47, P3, DOI [10.2753/ RPO1061-0405470100, DOI 10.2753/RPO1061-0405470100]; Monea B., 2020, COMPUTERS COMPOSITIO, V58, P102605; Moreno Mosquera L.G., 2014, COLOR COLOMBIA 0915; Mosquera J.E, 2015, WHY IS CHOCO POOR SA; Nykopp M, 2019, J COMPUT HIGH EDUC, V31, P536, DOI 10.1007/s12528-018-9203-3; O'Brien BC, 2020, ADV HEALTH SCI EDUC, V25, P483, DOI 10.1007/s10459-019-09900-w; Ramirez N., 2018, THESIS ATTENA UFPE; Ramirez N., 2013, COGENCY, V5, P107; Roselli ND, 2016, PROPOS REPRESENT, V4, P251, DOI 10.20511/pyr2016.v4n1.90; Ruiz L., 2010, PRAXIS REV PSICOLOGI, P149; Saneleuterio E., 2020, TENDENCIAS PEDAGOGIC, P59, DOI [10.15366/tp2020.36.05, DOI 10.15366/TP2020.36.05]; Santa-Clara A.M.O., 2005, THESIS ATTENA UFPE; Santa-Clara AO, 2011, PSICOL-REFLEX CRIT, V24, P394, DOI 10.1590/S0102-79722011000200021; Severina E., 2019, SHS WEB C, V72, DOI [10.1051/shsconf/20197203036, DOI 10.1051/SHSCONF/20197203036]; Teo T, 2019, J EDUC COMPUT RES, V57, P201, DOI 10.1177/0735633117749430; Vladdo, 2016, REV SEMANA; Volet S, 2009, LEARN INSTR, V19, P128, DOI 10.1016/j.learninstruc.2008.03.001; Zapata Alejandro Uribe, 2017, Rev. Lasallista Investig., V14, P29, DOI 10.22507/rli.v14n1a2</t>
  </si>
  <si>
    <t>UNIV PITTSBURGH, UNIV LIBRARY SYSTEM</t>
  </si>
  <si>
    <t>PITTSBURGH</t>
  </si>
  <si>
    <t>3960 FORBES AVE, PITTSBURGH, PA 15260 USA</t>
  </si>
  <si>
    <t>2325-3290</t>
  </si>
  <si>
    <t>DIALOGIC PEDAGOG</t>
  </si>
  <si>
    <t>Dialogic Pedagog.</t>
  </si>
  <si>
    <t>DT1</t>
  </si>
  <si>
    <t>DT21</t>
  </si>
  <si>
    <t>10.5195/dpj.2022.468</t>
  </si>
  <si>
    <t>0Z9XI</t>
  </si>
  <si>
    <t>WOS:000791421700001</t>
  </si>
  <si>
    <t>Hurtado, IC; Valencia, S; Pinzon, EM; Lesmes, MC; Sanchez, M; Rodriguez, J; Ochoa, B; Shewade, HD; Edwards, JK; Hann, K; Khogali, M</t>
  </si>
  <si>
    <t>Hurtado, Isabel Cristina; Valencia, Sandra; Pinzon, Elisa Maria; Lesmes, Maria Cristina; Sanchez, Mauro; Rodriguez, Jaime; Ochoa, Brindis; Shewade, Hemant Deepak; Edwards, Jeffrey K.; Hann, Katrina; Khogali, Mohammed</t>
  </si>
  <si>
    <t>Antibiotic resistance and consumption before and during the COVID-19 pandemic in Valle del Cauca, Colombia</t>
  </si>
  <si>
    <t>REVISTA PANAMERICANA DE SALUD PUBLICA-PAN AMERICAN JOURNAL OF PUBLIC HEALTH</t>
  </si>
  <si>
    <t>Drug resistance; microbial; anti-bacterial agents; therapeutic use; COVID-19; Colombia</t>
  </si>
  <si>
    <t>ANTIMICROBIAL RESISTANCE; COMMUNITY</t>
  </si>
  <si>
    <t>Objective. To assess changes in antibiotic resistance of eight of the World Health Organization priority bug-drug combinations and consumption of six antibiotics (ceftriaxone, cefepime, piperacillin/tazobactam, meropenem, ciprofloxacin, vancomycin) before (March 2018 to July 2019) and during (March 2020 to July 2021) the COVID-19 pandemic in 31 hospitals in Valle del Cauca, Colombia.Methods. This was a before/after study using routinely collected data. For antibiotic consumption, daily defined doses (DDD) per 100 bed-days were compared.Results. There were 23 405 priority bacterial isolates with data on antibiotic resistance. The total number of isolates increased from 9 774 to 13 631 in the periods before and during the pandemic, respectively. While resistance significantly decreased for four selected bug-drug combinations (Klebsiella pneumoniae, extended spectrum beta lactamase [ESBL]-producing, 32% to 24%; K. pneumoniae, carbapenem-resistant, 4% to 2%; Pseudomonas aeruginosa, carbapenem-resistant, 12% to 8%; Acinetobacter baumannii, carbapenem-resis-tant, 23% to 9%), the level of resistance for Enterococcus faecium to vancomycin significantly increased (42% to 57%). There was no change in resistance for the remaining three combinations (Staphylococcus aureus, methicillin-resistant; Escherichia coli, ESBL-producing; E. coli, carbapenem-resistant). Consumption of all anti-biotics increased. However, meropenem consumption decreased in intensive care unit settings (8.2 to 7.1 DDD per 100 bed-days).Conclusions. While the consumption of antibiotics increased, a decrease in antibiotic resistance of four bug-drug combinations was observed during the pandemic. This was possibly due to an increase in commu-nity-acquired infections. Increasing resistance of E. faecium to vancomycin must be monitored. The findings of this study are essential to inform stewardship programs in hospital settings of Colombia and similar contexts elsewhere.</t>
  </si>
  <si>
    <t>[Hurtado, Isabel Cristina; Valencia, Sandra; Pinzon, Elisa Maria; Lesmes, Maria Cristina] Valle Cauca Secretariat Hlth, Cali, Colombia; [Hurtado, Isabel Cristina] Univ Valle, Cali, Colombia; [Pinzon, Elisa Maria] Fdn Univ San Martin, Cali, Colombia; [Sanchez, Mauro] Univ Brasilia, Brasilia, Brazil; [Rodriguez, Jaime] Univ Pedag &amp; Tecnol Colombia, Tunja, Colombia; [Ochoa, Brindis] Pan Amer Hlth Org, Washington, DC USA; [Shewade, Hemant Deepak] ICMR Natl Inst Epidemiol, Chennai, India; [Edwards, Jeffrey K.] Univ Washington, Seattle, WA USA; [Hann, Katrina] Sustainable Hlth Syst, Freetown, Sierra Leone; [Khogali, Mohammed] WHO, Geneva, Switzerland</t>
  </si>
  <si>
    <t>Universidad del Valle; Universidade de Brasilia; Universidad Pedagogica y Tecnologica de Colombia (UPTC); Pan American Health Organization; Indian Council of Medical Research (ICMR); ICMR - National Institute of Epidemiology (NIE); University of Washington; University of Washington Seattle; World Health Organization</t>
  </si>
  <si>
    <t>Hurtado, IC (corresponding author), Valle Cauca Secretariat Hlth, Cali, Colombia.;Hurtado, IC (corresponding author), Univ Valle, Cali, Colombia.</t>
  </si>
  <si>
    <t>Shewade MBBS MD PhD, Hemant D/0000-0002-8242-1911</t>
  </si>
  <si>
    <t>[Anonymous], 2020, GOB ENV PRIM 22 000; [Anonymous], 2021, B COV 19 AL 2021; Baditoiu L, 2017, ANN CLIN MICROB ANTI, V16, DOI 10.1186/s12941-017-0251-8; Barchitta M, 2019, INT J ENV RES PUB HE, V16, DOI 10.3390/ijerph16132253; Beovic B, 2020, J ANTIMICROB CHEMOTH, V75, P3386, DOI 10.1093/jac/dkaa326; Canton R, 2020, CURR OPIN CRIT CARE, V26, P433, DOI 10.1097/MCC.0000000000000755; Castro-Sanchez E, 2016, BMC INFECT DIS, V16, DOI 10.1186/s12879-016-1810-x; Chamieh A, 2021, ANTIBIOTICS-BASEL, V10, DOI 10.3390/antibiotics10081016; Clinical and Laboratory Standards Institute, 2021, M100 PERF STAND ANT; Collignon P, 2020, JAC-ANTIMICROB RESIS, V2, DOI 10.1093/jacamr/dlaa051; Colombia Instituto Nacional de Salud, 2018, RES BACT AMB HOSP; Colombia Instituto Nacional de Salud, 2022, CONS ANT 2021; Colombia Instituto Nacional de Salud, 2019, CONS ANT AMB HOSP; Fleming A, 2019, B INFORM GREBO, P11; Getahun H, 2020, B WORLD HEALTH ORGAN, V98, P442, DOI 10.2471/BLT.20.268573; Giacomelli A, 2021, PHARMACOL RES, V164, DOI 10.1016/j.phrs.2020.105403; Hamidi A.A., 2021, J SURG MED, V5, P124, DOI 10.28982/josam.834535; Ho PL, 2009, CHEST, V136, P1119, DOI 10.1378/chest.09-0285; Hogberg LD, 2021, EUROSURVEILLANCE, V26, DOI 10.2807/1560-7917.ES.2021.26.46.2101020; Kamara IF, 2022, INT J ENV RES PUB HE, V19, DOI 10.3390/ijerph19074005; Kampmeier S, 2020, ANTIMICROB RESIST IN, V9, DOI 10.1186/s13756-020-00820-8; Kariyawasam RM, 2022, ANTIMICROB RESIST IN, V11, DOI 10.1186/s13756-022-01085-z; Lim C, 2016, ELIFE, V5, DOI 10.7554/eLife.18082; Mancini A, 2020, NEW MICROBIOL, V43, P17; Martínez Buitrago Ernesto, 2014, Infect., V18, P3; McEwen SA, 2018, MICROBIOL SPECTR, V6, DOI [10.1128/microbiolspec.ARBA-0009-2017, 10.1128/9781555819804.ch24]; Monnet DL, 2020, EUROSURVEILLANCE, V25, DOI 10.2807/1560-7917.ES.2020.25.45.2001886; Murray CJL, 2022, LANCET, V399, P629, DOI [10.1016/S0140-6736(21)02724-0, 10.1016/j.eururo.2022.08.023]; O'Grady NP, 2002, CLIN INFECT DIS, V35, P1281, DOI 10.1086/344188; O'Toole RF, 2021, CLIN MICROBIOL INFEC, V27, P1772, DOI 10.1016/j.cmi.2021.06.001; Rawson TM, 2020, J ANTIMICROB CHEMOTH, V75, P1681, DOI 10.1093/jac/dkaa194; Rawson TM, 2020, CLIN INFECT DIS, V71, P2459, DOI 10.1093/cid/ciaa530; Rodriguez-Bano J, 2021, T ROY SOC TROP MED H, V115, P1122, DOI 10.1093/trstmh/trab048; van Duin D, 2020, JAC-ANTIMICROB RESIS, V2, DOI 10.1093/jacamr/dlaa053; Van Laethem J, 2022, INTERN EMERG MED, V17, P141, DOI 10.1007/s11739-021-02790-0; von Elm E, 2007, LANCET, V370, P1453, DOI 10.1016/S0140-6736(07)61602-X; WHO, WHO ANT CAT; World Health Organization, 2020, GLASS METH EST ATTR, P65; World Health Organization, 2020, DEPRESSION OTHER COM</t>
  </si>
  <si>
    <t>PAN AMER HEALTH ORGANIZATION</t>
  </si>
  <si>
    <t>525 23RD ST NW, WASHINGTON, DC 20037 USA</t>
  </si>
  <si>
    <t>1020-4989</t>
  </si>
  <si>
    <t>1680-5348</t>
  </si>
  <si>
    <t>REV PANAM SALUD PUBL</t>
  </si>
  <si>
    <t>Rev. Panam. Salud Publica</t>
  </si>
  <si>
    <t>e10</t>
  </si>
  <si>
    <t>10.26633/RPSP.2023.10</t>
  </si>
  <si>
    <t>Public, Environmental &amp; Occupational Health</t>
  </si>
  <si>
    <t>E2NI8</t>
  </si>
  <si>
    <t>WOS:000973962400001</t>
  </si>
  <si>
    <t>Melendez-Florez, MP; Valbuena, DS; Cepeda, S; Rangel, N; Forero-Castro, M; Martinez-Aguero, M; Rondon-Lagos, M</t>
  </si>
  <si>
    <t>Melendez-Florez, Maria Paula; Valbuena, Duvan Sebastian; Cepeda, Sebastian; Rangel, Nelson; Forero-Castro, Maribel; Martinez-Aguero, Maria; Rondon-Lagos, Milena</t>
  </si>
  <si>
    <t>Profile of Chromosomal Alterations, Chromosomal Instability and Clonal Heterogeneity in Colombian Farmers Exposed to Pesticides</t>
  </si>
  <si>
    <t>FRONTIERS IN GENETICS</t>
  </si>
  <si>
    <t>pesticides; chromosomal alterations; chromosomal instability; clonal heterogeneity; occupational exposure</t>
  </si>
  <si>
    <t>IN-SITU HYBRIDIZATION; ACUTE LYMPHOBLASTIC-LEUKEMIA; SISTER-CHROMATID EXCHANGES; PERIPHERAL-BLOOD; CYTOGENETIC ANALYSIS; MULTIPLE-MYELOMA; MYELODYSPLASTIC SYNDROMES; OCCUPATIONAL-EXPOSURE; GENE AMPLIFICATION; BREAST-CARCINOMAS</t>
  </si>
  <si>
    <t>Pesticides are a group of environmental pollutants widely used in agriculture to protect crops, and their indiscriminate use has led to a growing public awareness about the health hazards associated with exposure to these substances. In fact, exposure to pesticides has been associated with an increased risk of developing diseases, including cancer. In a study previously published by us, we observed the induction of specific chromosomal alterations and, in general, the deleterious effect of pesticides on the chromosomes of five individuals exposed to pesticides. Considering the importance of our previous findings and their implications in the identification of cytogenetic biomarkers for the monitoring of exposed populations, we decided to conduct a new study with a greater number of individuals exposed to pesticides. Considering the above, the aim of this study was to evaluate the type and frequency of chromosomal alterations, chromosomal variants, the level of chromosomal instability and the clonal heterogeneity in a group of thirty-four farmers occupationally exposed to pesticides in the town of Simijaca, Colombia, and in a control group of thirty-four unexposed individuals, by using Banding Cytogenetics and Molecular Cytogenetics (Fluorescence in situ hybridization). Our results showed that farmers exposed to pesticides had significantly increased frequencies of chromosomal alterations, chromosomal variants, chromosomal instability and clonal heterogeneity when compared with controls. Our results confirm the results previously reported by us, and indicate that occupational exposure to pesticides induces not only chromosomal instability but also clonal heterogeneity in the somatic cells of people exposed to pesticides. This study constitutes, to our knowledge, the first study that reports clonal heterogeneity associated with occupational exposure to pesticides. Chromosomal instability and clonal heterogeneity, in addition to reflecting the instability of the system, could predispose cells to acquire additional instability and, therefore, to an increased risk of developing diseases.</t>
  </si>
  <si>
    <t>[Melendez-Florez, Maria Paula; Valbuena, Duvan Sebastian; Cepeda, Sebastian; Forero-Castro, Maribel; Rondon-Lagos, Milena] Univ Pedagog &amp; Tecnol Colombia, Sch Biol Sci, Tunja, Colombia; [Rangel, Nelson] Pontificia Univ Javeriana, Fac Ciencias, Dept Nutr &amp; Bioquim, Bogota, Colombia; [Martinez-Aguero, Maria] Univ Rosario, Fac Ciencias Nat, Ctr Invest Microbiol &amp; Biotecnol UR CIMBIUR, Bogota, Colombia</t>
  </si>
  <si>
    <t>Universidad Pedagogica y Tecnologica de Colombia (UPTC); Pontificia Universidad Javeriana; Universidad del Rosario</t>
  </si>
  <si>
    <t>Rondon-Lagos, M (corresponding author), Univ Pedagog &amp; Tecnol Colombia, Sch Biol Sci, Tunja, Colombia.;Martinez-Aguero, M (corresponding author), Univ Rosario, Fac Ciencias Nat, Ctr Invest Microbiol &amp; Biotecnol UR CIMBIUR, Bogota, Colombia.</t>
  </si>
  <si>
    <t>sandra.rondon01@uptc.edu.co; maria.martinez@urosario.edu.co</t>
  </si>
  <si>
    <t>Rangel, Nelson/HKW-3808-2023</t>
  </si>
  <si>
    <t>Al-Bahar S, 2010, MED PRIN PRACT, V19, P176, DOI 10.1159/000285281; Amare PS, 2004, CANCER GENET CYTOGEN, V150, P33, DOI 10.1016/j.cancergencyto.2003.08.015; Ampatzidou M, 2018, CANCER GENET-NY, V224, P1, DOI 10.1016/j.cancergen.2018.03.001; Arafa A., 2013, J APPL SCI RES, V9, P5; Ashok Vishal, 2017, Asian Pac J Cancer Prev, V18, P3457; ATKIN NB, 1977, BRIT MED J, V1, P358, DOI 10.1136/bmj.1.6057.358; BALAJI M, 1993, MUTAT RES, V301, P13, DOI 10.1016/0165-7992(93)90050-6; Banerjee BD, 1999, TOXICOL LETT, V107, P33, DOI 10.1016/S0378-4274(99)00029-6; BARDI G, 1993, CANCER, V71, P306, DOI 10.1002/1097-0142(19930115)71:2&lt;306::AID-CNCR2820710207&gt;3.0.CO;2-C; Benedetti D, 2018, MUTAGENESIS, V33, P87, DOI 10.1093/mutage/gex035; BENTZ M, 1994, LEUKEMIA, V8, P1447; Bhardwaj JK, 2020, TOXIN REV, V39, P1, DOI 10.1080/15569543.2018.1474926; Bolt HM, 2004, TOXICOL LETT, V151, P29, DOI 10.1016/j.toxlet.2004.04.004; Brega S M, 1998, Cad Saude Publica, V14 Suppl 3, P109; Bridge JA, 1997, CANCER GENET CYTOGEN, V95, P74, DOI 10.1016/S0165-4608(96)00306-8; Buno I, 1998, BLOOD, V92, P2315, DOI 10.1182/blood.V92.7.2315.2315_2315_2321; BureticTomljanovic A, 1997, AM J REPROD IMMUNOL, V38, P201; Campioni D, 2012, ANN HEMATOL, V91, P1563, DOI 10.1007/s00277-012-1500-8; Caradonna F, 2015, MUTAGENESIS, V30, P269, DOI 10.1093/mutage/geu068; CARBONELL E, 1990, MUTAGENESIS, V5, P403, DOI 10.1093/mutage/5.4.403; Castillo-Cadena J, 2006, J BIOMED BIOTECHNOL, DOI 10.1155/JBB/2006/97896; CCMG-CCGM National Office, 2021, CCMG PRACT GUID CYT; Cepeda S, 2020, RISK MANAG HEALTHC P, V13, P97, DOI 10.2147/RMHP.S230953; Cerretini R, 2006, EUR J HAEMATOL, V76, P284, DOI 10.1111/j.1600-0609.2005.00616.x; Chauhan LKS, 2000, MUTAT RES-GEN TOX EN, V465, P123, DOI 10.1016/S1383-5718(99)00219-3; Cocco P, 2013, OCCUP ENVIRON MED, V70, P91, DOI 10.1136/oemed-2012-100845; Coquelle A, 1997, CELL, V89, P215, DOI 10.1016/S0092-8674(00)80201-9; Das GP, 2006, DRUG CHEM TOXICOL, V29, P313, DOI 10.1080/01480540600653093; Dayal JHS, 2015, CONVERG SCI PHYS ONC, V1, DOI 10.1088/2057-1739/1/2/025001; Debacker K, 2007, HUM MOL GENET, V16, pR150, DOI 10.1093/hmg/ddm136; DebiecRychter M, 1995, CANCER GENET CYTOGEN, V85, P61, DOI 10.1016/0165-4608(95)00129-8; DEFERRARI M, 1991, MUTAT RES, V260, P105, DOI 10.1016/0165-1218(91)90086-2; DULOUT FN, 1985, MUTAT RES, V143, P237, DOI 10.1016/0165-7992(85)90087-9; Durkin SG, 2007, ANNU REV GENET, V41, P169, DOI 10.1146/annurev.genet.41.042007.165900; El-Zimaity MMT, 2004, BRIT J HAEMATOL, V125, P187, DOI 10.1111/j.1365-2141.2004.04899.x; FAO &amp; WHO, 2021, MAN PEST AGR PUBL HL, V2; Farabegoli F, 2001, CYTOMETRY, V46, P50, DOI 10.1002/1097-0320(20010215)46:1&lt;50::AID-CYTO1037&gt;3.0.CO;2-T; Farkas G, 2016, MUTAGENESIS, V31, P583, DOI 10.1093/mutage/gew024; Feder M, 1998, CANCER GENET CYTOGEN, V102, P25, DOI 10.1016/S0165-4608(97)00274-4; Fenech M, 2011, MUTAGENESIS, V26, P125, DOI 10.1093/mutage/geq052; Fiegl M, 2000, HUM PATHOL, V31, P448, DOI 10.1053/hp.2000.6550; Gabrea A, 2008, GENE CHROMOSOME CANC, V47, P573, DOI 10.1002/gcc.20563; Gagos S, 2005, INT J BIOCHEM CELL B, V37, P1014, DOI 10.1016/j.biocel.2005.01.003; Geigl JB, 2008, TRENDS GENET, V24, P64, DOI 10.1016/j.tig.2007.11.006; George J, 2011, J PROTEOMICS, V74, P2713, DOI 10.1016/j.jprot.2011.09.024; Gisselsson D, 2001, AM J PATHOL, V158, P199, DOI 10.1016/S0002-9440(10)63958-2; Gisselsson D, 2000, P NATL ACAD SCI USA, V97, P5357, DOI 10.1073/pnas.090013497; Gladstone B, 1998, CANCER GENET CYTOGEN, V106, P44, DOI 10.1016/S0165-4608(98)00039-9; Glover TW, 1998, RECENT RES CANCER, V154, P185; GLOVER TW, 1987, AM J HUM GENET, V41, P882; Gomez-Arroyo S, 2000, MUTAT RES-GEN TOX EN, V466, P117, DOI 10.1016/S1383-5718(99)00231-4; Grover P, 2003, MUTAGENESIS, V18, P201, DOI 10.1093/mutage/18.2.201; HEEREMA NA, 1992, LEUKEMIA, V6, P185; Hellman A, 2002, CANCER CELL, V1, P89, DOI 10.1016/S1535-6108(02)00017-X; Hong M, 2016, CANCER GENET-NY, V209, P205, DOI 10.1016/j.cancergen.2016.04.001; HOOGERWERF WA, 1994, GENE CHROMOSOME CANC, V9, P88, DOI 10.1002/gcc.2870090203; Hoppin JA, 2002, AM J RESP CRIT CARE, V165, P683, DOI 10.1164/ajrccm.165.5.2106074; Idrovo A.J, 2000, REV SALUD PUBLICA, V2, P10; Iqbal MA, 2006, EUR J HAEMATOL, V77, P245, DOI 10.1111/j.1600-0609.2006.00698.x; Issa GC, 2017, BLOOD, V130, P2084, DOI 10.1182/blood-2017-07-792143; JABLONICKA A, 1989, MUTAT RES, V224, P143, DOI 10.1016/0165-1218(89)90148-1; Jacobsen-Pereira CH, 2018, ECOTOX ENVIRON SAFE, V148, P177, DOI 10.1016/j.ecoenv.2017.10.004; Ji WZ, 1997, MUTAT RES-FUND MOL M, V379, P33, DOI 10.1016/S0027-5107(97)00088-2; Jost L, 2006, OIKOS, V113, P363, DOI 10.1111/j.2006.0030-1299.14714.x; Jost L., 2012, ACTA ZOOLOGICA LILLO, V56, P11, DOI [10.30550/j.azl, DOI 10.30550/J.AZL]; Jovtchev G, 2010, ENVIRON TOXICOL, V25, P294, DOI 10.1002/tox.20503; Karst C, 2006, INT J ONCOL, V28, P891; Kaur K, 2018, INDIAN J OCCUP ENVIR, V22, P74, DOI 10.4103/ijoem.IJOEM_45_18; Kawauchi S, 2010, ONCOL REP, V24, P875, DOI 10.3892/or_00000933; Kirkhorn S R, 2002, J Agric Saf Health, V8, P199; Kirkhorn SR, 2000, ENVIRON HEALTH PERSP, V108, P705, DOI 10.2307/3454407; Kowalski J, 2007, CANCER GENET CYTOGEN, V178, P26, DOI 10.1016/j.cancergencyto.2007.06.004; LeBlanc GA, 1997, MOL CELL ENDOCRINOL, V126, P1, DOI 10.1016/S0303-7207(96)03968-8; Lee SE, 2012, CANCER GENET-NY, V205, P563, DOI 10.1016/j.cancergen.2012.09.003; Lengauer C, 1997, NATURE, V386, P623, DOI 10.1038/386623a0; Liu G, 2014, CELL CYCLE, V13, P528, DOI 10.4161/cc.27378; Lloveras E, 2004, CANCER GENET CYTOGEN, V148, P71, DOI 10.1016/S0165-4608(03)00233-4; Lushchak VI, 2018, EXCLI J, V17, P1101, DOI 10.17179/excli2018-1710; Macarenco RS, 2006, CANCER GENET CYTOGEN, V171, P126, DOI 10.1016/j.cancergencyto.2006.07.009; Maley CC, 2006, NAT GENET, V38, P468, DOI 10.1038/ng1768; Mandahl N, 2000, CANCER GENET CYTOGEN, V116, P66, DOI 10.1016/S0165-4608(99)00114-4; Mattiuzzo M, 2006, CARCINOGENESIS, V27, P2511, DOI 10.1093/carcin/bgl102; McGowan-Jordan J., 2020, ISCN 2020 INT SYSTEM, P88; MUGNERET F, 1995, BRIT J HAEMATOL, V90, P119, DOI 10.1111/j.1365-2141.1995.tb03389.x; Mumtaz MM, 1995, TOXICOL LETT, V82-3, P527, DOI 10.1016/0378-4274(95)03582-6; Munro AF, 2012, BRIT J CANCER, V107, P71, DOI 10.1038/bjc.2012.232; Nahi H, 2008, LEUKEMIA LYMPHOMA, V49, P508, DOI 10.1080/10428190701861645; Nayebbagher T, 2020, NEOPLASMA, V67, P185, DOI 10.4149/neo_2019_190202N105; Nicolopoulou-Stamati P, 2016, FRONT PUBLIC HEALTH, V4, DOI 10.3389/fpubh.2016.00148; O'Leary KT, 2008, J PHARMACOL EXP THER, V327, P124, DOI 10.1124/jpet.108.141861; Olsson L, 2018, GENE CHROMOSOME CANC, V57, P604, DOI 10.1002/gcc.22664; Ozkan E., 2021, GENETICS CYTOGENETIC; PANDIS N, 1995, GENE CHROMOSOME CANC, V12, P173, DOI 10.1002/gcc.2870120304; Pantou D, 2005, GENE CHROMOSOME CANC, V42, P44, DOI 10.1002/gcc.20114; Paro R, 2012, TOXICOL APPL PHARM, V260, P155, DOI 10.1016/j.taap.2012.02.005; Parry EM, 2002, MUTAGENESIS, V17, P509, DOI 10.1093/mutage/17.6.509; Pastor S, 2003, MUTAGENESIS, V18, P249, DOI 10.1093/mutage/18.3.249; Paz-y-Mino C, 2002, ENVIRON HEALTH PERSP, V110, P1077, DOI 10.1289/ehp.021101077; PEDERSEN MI, 1986, CANCER GENET CYTOGEN, V20, P11, DOI 10.1016/0165-4608(86)90103-2; PEJOVIC T, 1991, INT J CANCER, V47, P358, DOI 10.1002/ijc.2910470308; Polito L, 2016, PARKINSONS DIS-US, V2016, DOI 10.1155/2016/6465793; PRESTI JC, 1991, CANCER RES, V51, P1544; PRIGOGINA EL, 1988, CANCER GENET CYTOGEN, V32, P183, DOI 10.1016/0165-4608(88)90281-6; Rangel N, 2017, GENES-BASEL, V8, DOI 10.3390/genes8060155; Rayeroux KC, 2009, CANCER GENET CYTOGEN, V193, P44, DOI 10.1016/j.cancergencyto.2009.04.006; Re A, 2006, BMC BIOINFORMATICS, V7, DOI 10.1186/1471-2105-7-413; Reffstrup TK, 2010, REGUL TOXICOL PHARM, V56, P174, DOI 10.1016/j.yrtph.2009.09.013; Renzi L, 1996, MUTAGENESIS, V11, P133, DOI 10.1093/mutage/11.2.133; Rigolin GM, 1997, HAEMATOLOGICA, V82, P25; RODRIGUEZ E, 1993, GENE CHROMOSOME CANC, V8, P230, DOI 10.1002/gcc.2870080405; ROGATTO SR, 1993, CANCER GENET CYTOGEN, V69, P146, DOI 10.1016/0165-4608(93)90093-2; Roylance R, 2011, CANCER EPIDEM BIOMAR, V20, P2183, DOI 10.1158/1055-9965.EPI-11-0343; RUPA DS, 1991, ENVIRON MOL MUTAGEN, V18, P136, DOI 10.1002/em.2850180209; Sabarwal A, 2018, ENVIRON TOXICOL PHAR, V63, P103, DOI 10.1016/j.etap.2018.08.018; Sailaja N, 2006, MUTAT RES-GEN TOX EN, V609, P74, DOI 10.1016/j.mrgentox.2006.06.022; Sawyer JR, 2014, BLOOD, V123, P2504, DOI 10.1182/blood-2013-12-546077; Sawyer JR, 1996, CANCER GENET CYTOGEN, V90, P1, DOI 10.1016/0165-4608(96)00058-1; Serpa EA, 2019, ACTA SCI-HEALTH SCI, V41, DOI 10.4025/actascihealthsci.v41i1.44291; Shah HK, 2020, CHEMOSPHERE, V246, DOI 10.1016/j.chemosphere.2019.125691; Smolarek TA, 1999, CANCER GENET CYTOGEN, V108, P57, DOI 10.1016/S0165-4608(98)00113-7; Srivastava AK, 2012, LIFE SCI, V90, P815, DOI 10.1016/j.lfs.2011.12.013; Takami S, 2001, CLIN CHIM ACTA, V308, P127, DOI 10.1016/S0009-8981(01)00473-9; Takeshita A, 2004, CANCER GENET CYTOGEN, V152, P56, DOI 10.1016/j.cancergencyto.2003.10.002; Talamo A, 2010, CANCER GENET CYTOGEN, V203, P209, DOI 10.1016/j.cancergencyto.2010.09.005; Tanaka K, 2016, BBA-REV CANCER, V1866, P64, DOI 10.1016/j.bbcan.2016.06.002; Teixeira MR, 2001, NEOPLASIA, V3, P204, DOI 10.1038/sj.neo.7900152; TESTA JR, 1994, GENE CHROMOSOME CANC, V11, P178, DOI 10.1002/gcc.2870110307; Tibiletti MB, 2000, CLIN CANCER RES, V6, P1422; Tibiletti MG, 2003, CANCER GENET CYTOGEN, V146, P145, DOI 10.1016/S0165-4608(03)00134-1; Tibiletti MG, 1996, CANCER RES, V56, P4493; Tomiazzi JS, 2018, ENVIRON SCI POLLUT R, V25, P1259, DOI 10.1007/s11356-017-0496-y; Travella A, 2013, HEMATOL ONCOL, V31, P339, DOI 10.1002/hon.2025; TSE W, 1995, BLOOD, V85, P650, DOI 10.1182/blood.V85.3.650.bloodjournal853650; Vargas-Rondon N, 2018, CANCERS, V10, DOI 10.3390/cancers10010004; Vincent-Salomon A, 2013, PLOS ONE, V8, DOI 10.1371/journal.pone.0076496; Wang R, 2001, GENE CHROMOSOME CANC, V31, P54, DOI 10.1002/gcc.1118; Wilhelm CM, 2015, ENVIRON SCI POLLUT R, V22, P8182, DOI 10.1007/s11356-014-3959-4; Wuicik L, 2007, CANCER GENET CYTOGEN, V173, P114, DOI 10.1016/j.cancergencyto.2006.10.009; Wyandt He P.R., 2004, ATLAS HUMAN CHROMOSO; Zhang W., 2011, P INT ACAD ECOL ENV, V1, P19; Zijno A, 1996, MUTAGENESIS, V11, P335, DOI 10.1093/mutage/11.4.335</t>
  </si>
  <si>
    <t>1664-8021</t>
  </si>
  <si>
    <t>FRONT GENET</t>
  </si>
  <si>
    <t>Front. Genet.</t>
  </si>
  <si>
    <t>FEB 24</t>
  </si>
  <si>
    <t>10.3389/fgene.2022.820209</t>
  </si>
  <si>
    <t>Genetics &amp; Heredity</t>
  </si>
  <si>
    <t>ZQ1TJ</t>
  </si>
  <si>
    <t>WOS:000766894400001</t>
  </si>
  <si>
    <t>Ballesteros-Ricaurte, JA; Fabregat, R; Carrillo-Ramos, A; Parra, C; Pulido-Medellin, MO</t>
  </si>
  <si>
    <t>Ballesteros-Ricaurte, Javier Antonio; Fabregat, Ramon; Carrillo-Ramos, Angela; Parra, Carlos; Pulido-Medellin, Martin Orlando</t>
  </si>
  <si>
    <t>Systematic Literature Review of Models Used in the Epidemiological Analysis of Bovine Infectious Diseases</t>
  </si>
  <si>
    <t>bovine; computer applications; epidemiology; infectious diseases; machine learning</t>
  </si>
  <si>
    <t>MOUTH-DISEASE; DAIRY-HERD; CATTLE; CONTACT; HEALTH; VALIDATION; NETWORK; SPREAD; IMPACT; RISK</t>
  </si>
  <si>
    <t>There are different bovine infectious diseases that show economic losses and social problems in various sectors of the economy. Most of the studies are focused on some diseases (for example, tuberculosis, salmonellosis, and brucellosis), but there are few studies on other diseases which are not officially controlled but also have an impact on the economy. This work is a systematic literature review on models (as a theoretical scheme, generally in mathematical form) used in the epidemiological analysis of bovine infectious diseases in the dairy farming sector. In this systematic literature review, criteria were defined for cattle, models, and infectious diseases to select articles on Scopus, IEEE, Xplorer, and ACM databases. The relations between the found models (model type, function and the proposed objective in each work) and the bovine infectious diseases, and the different techniques used and the works over infectious disease in humans, are presented. The outcomes obtained in this systematic literature review provide the state-of-the-art inputs for research on models for the epidemiological analysis of infectious bovine diseases. As a consequence of these outcomes, this work also presents an approach of EiBeLec, which is an adaptive and predictive system for the bovine ecosystem, combining a prediction model that uses machine-learning techniques and an adaptive model that adapts the information presented to end users.</t>
  </si>
  <si>
    <t>[Ballesteros-Ricaurte, Javier Antonio] Univ Pedagog &amp; Tecnol Colombia, Escuela Ingn Sistemas &amp; Computac, Tunja 150003, Colombia; [Ballesteros-Ricaurte, Javier Antonio; Carrillo-Ramos, Angela; Parra, Carlos] Pontificia Univ Javeriana, Ingn, Bogota 110231, Colombia; [Fabregat, Ramon] Univ Girona, Broadband Commun &amp; Distributed Syst, Girona 17007, Spain; [Pulido-Medellin, Martin Orlando] Univ Pedagog &amp; Tecnol Colombia, Escuela Med Vet, Tunja 150003, Colombia</t>
  </si>
  <si>
    <t>Universidad Pedagogica y Tecnologica de Colombia (UPTC); Pontificia Universidad Javeriana; Universitat de Girona; Universidad Pedagogica y Tecnologica de Colombia (UPTC)</t>
  </si>
  <si>
    <t>Ballesteros-Ricaurte, JA (corresponding author), Univ Pedagog &amp; Tecnol Colombia, Escuela Ingn Sistemas &amp; Computac, Tunja 150003, Colombia.;Ballesteros-Ricaurte, JA (corresponding author), Pontificia Univ Javeriana, Ingn, Bogota 110231, Colombia.</t>
  </si>
  <si>
    <t>javier.ballesteros@uptc.edu.co</t>
  </si>
  <si>
    <t>Fabregat Gesa, Ramon/C-6314-2008</t>
  </si>
  <si>
    <t>Fabregat Gesa, Ramon/0000-0002-3551-7304; Pulido-Medellin, Martin Orlando/0000-0003-4989-1476</t>
  </si>
  <si>
    <t>Boyaca Government</t>
  </si>
  <si>
    <t>This research is financed by the Boyaca Government through the scholarship obtained in the call number 733 of the Ministry of science technology and innovation (MinCiencias) aimed to the Formation of High Performance Human Capital.</t>
  </si>
  <si>
    <t>Acero-AM, 2016, REV GERENC POLIT SAL, V15, P232, DOI [10.11144/Javeriana.rgyps15-31.zops, DOI 10.11144/JAVERIANA.RGYPS15-31.ZOPS]; Ak C, 2020, CLIN MICROBIOL INFEC, V26, DOI 10.1016/j.cmi.2019.05.006; Al-Mamun MA, 2018, PLOS ONE, V13, DOI 10.1371/journal.pone.0203177; Munoz LA, 2017, GOV INFORM Q, V34, P545, DOI 10.1016/j.giq.2017.05.002; Alfieri AA, 2018, TROP ANIM HEALTH PRO, V50, P1937, DOI 10.1007/s11250-018-1592-9; Anderson DP, 2017, PREV VET MED, V148, P106, DOI 10.1016/j.prevetmed.2017.10.015; Ansari-Lari M, 2017, PREV VET MED, V144, P117, DOI 10.1016/j.prevetmed.2017.05.022; Asamoah JKK, 2022, CHAOS SOLITON FRACT, V156, DOI 10.1016/j.chaos.2022.111821; Ballesteros-Ricaurte J.A., 2018, P 13 300 COLOMBIAN C, P137; Ballesteros-Ricaurte J.A., 2018, P 14 INT C WEB INF S, P253, DOI [10.5220/0006947502530260, DOI 10.5220/0006947502530260]; Barhak J, 2010, J BIOMED INFORM, V43, P791, DOI 10.1016/j.jbi.2010.06.003; Barrat A, 2014, CLIN MICROBIOL INFEC, V20, P10, DOI 10.1111/1469-0691.12472; Barrett C. L., 2008, P 2008 ACM IEEE C SU, P1, DOI DOI 10.1109/SC.2008.5214892; Bauer P, 2016, INT J HIGH PERFORM C, V30, P438, DOI 10.1177/1094342016635723; Beckman R, 2014, PROCEEDINGS OF THE 20TH ACM SIGKDD INTERNATIONAL CONFERENCE ON KNOWLEDGE DISCOVERY AND DATA MINING (KDD'14), P1847, DOI 10.1145/2623330.2623375; Bekara ME, 2014, PLOS ONE, V9, DOI 10.1371/journal.pone.0108584; Benitez N.G, 2014, REV ELECT VET, V15, P1; Bernoulli D., 1995, HIST LACAD ROY SCI P; Bhardwaj T, 2019, ADV INTELL SYST, V748, P683, DOI 10.1007/978-981-13-0923-6_58; Boklund A, 2018, EFSA J, V16, DOI 10.2903/j.efsa.2018.5494; Bradhurst RA, 2016, ENVIRON MODELL SOFTW, V77, P1, DOI 10.1016/j.envsoft.2015.11.015; Brock J, 2020, PREV VET MED, V174, DOI 10.1016/j.prevetmed.2019.104814; Brockmann D., 2017, NOVA ACTA LEOPOLDINA, V419, P129, DOI DOI 10.25646/2797; Cabezas AH, 2018, PREV VET MED, V158, P160, DOI 10.1016/j.prevetmed.2018.08.007; Carr S, 2010, WINT SIMUL C PROC, P2171, DOI 10.1109/WSC.2010.5678858; Chen JG, 2021, COMMUN BIOL, V4, DOI [10.1038/s42003-021-02220-z, 10.1101/2020.10.02.324228]; Cobo MJ, 2012, J AM SOC INF SCI TEC, V63, P1609, DOI 10.1002/asi.22688; Contalbrigo L, 2017, BMC VET RES, V13, DOI 10.1186/s12917-017-1320-0; Cruz JA, 2006, CANCER INFORM, V2, P59; Currie CSM, 2018, WINT SIMUL C PROC, P440, DOI 10.1109/WSC.2018.8632502; Damianos L., 2003, P 36 ANN HAWAII INT, DOI [10.1109/hicss.2003.1173927, DOI 10.1109/HICSS.2003.1173927]; Detilleux J, 2013, GENET SEL EVOL, V45, DOI 10.1186/1297-9686-45-6; Detilleux JC, 2011, GENET SEL EVOL, V43, DOI 10.1186/1297-9686-43-9; Ding FY, 2018, ACTA TROP, V178, P155, DOI 10.1016/j.actatropica.2017.11.020; Douglas JV, 2019, HEALTH SECUR, V17, P291, DOI 10.1089/hs.2019.0018; Dubiau L., 2013, P 14 ARG S ART INT A, P36; Duncan AJ, 2012, EPIDEMICS-NETH, V4, P117, DOI 10.1016/j.epidem.2012.04.003; Esperaca PM, 2018, PARASITE VECTOR, V11, DOI 10.1186/s13071-018-2960-z; FAO Organizacion de las Naciones, 2018, UN AL AGR; Fernandez-Carrion E, 2016, PREV VET MED, V126, P66, DOI 10.1016/j.prevetmed.2016.01.015; Garzon C.A, 2018, THESIS U GIRONA GIRO; Gates MC, 2015, EPIDEMICS-NETH, V12, P11, DOI 10.1016/j.epidem.2015.02.008; Grohn YT, 2015, PREV VET MED, V118, P238, DOI 10.1016/j.prevetmed.2014.08.013; Guo KH, 2022, IEEE T INTELL TRANSP, DOI [10.1109/TITS.2022.3172206, 10.1109/TIV.2022.3215011]; Hasan SMS, 2014, ACM-IEEE J CONF DIG, P449, DOI 10.1109/JCDL.2014.6970219; He YC, 2021, PROCEEDINGS OF 2021 2ND INTERNATIONAL CONFERENCE ON ARTIFICIAL INTELLIGENCE AND INFORMATION SYSTEMS (ICAIIS '21), DOI 10.1145/3469213.3471317; Holt AC, 2009, INT J HEALTH GEOGR, V8, DOI 10.1186/1476-072X-8-38; Inayatulloh, 2015, P 9 INT C TEL SYST S, P1, DOI [10.1109/tssa.2015.7440435, DOI 10.1109/TSSA.2015.7440435]; Ivorra B, 2015, B MATH BIOL, V77, P1668, DOI 10.1007/s11538-015-0100-x; Ivorra B, 2014, ANN OPER RES, V219, P25, DOI 10.1007/s10479-012-1257-4; Johnston WT, 2011, INT J INFECT DIS, V15, pE833, DOI 10.1016/j.ijid.2011.08.004; Jones KE, 2008, NATURE, V451, P990, DOI 10.1038/nature06536; Keeling M., 2007, MODELING INFECT DIS; Kelly RF, 2016, PLOS ONE, V11, DOI 10.1371/journal.pone.0146538; Knight GM, 2016, INT J INFECT DIS, V42, P17, DOI 10.1016/j.ijid.2015.10.024; Kosmala M, 2016, ECOL APPL, V26, P295, DOI 10.1890/14-1808; Lahodny GE, 2015, J BIOL DYNAM, V9, P128, DOI 10.1080/17513758.2014.954763; Lamouroux David, 2015, Proc Biol Sci, V282, P20142805, DOI 10.1098/rspb.2014.2805; Lim S, 2017, J BIOMED INFORM, V66, P82, DOI 10.1016/j.jbi.2016.12.007; Liu H, 2012, PROCEDIA COMPUT SCI, V9, P857, DOI 10.1016/j.procs.2012.04.092; Livnat Y, 2012, IEEE COMPUT GRAPH, V32, P89, DOI 10.1109/MCG.2012.31; Lopes Luciano Bastos, 2010, Ciencia Animal Brasileira, V11, P700, DOI 10.5216/cab.v11i3.6174; Lu Z, 2014, B MATH BIOL, V76, P541, DOI 10.1007/s11538-013-9931-5; Ma S, 2021, IEEE SENS J, V21, P9367, DOI 10.1109/JSEN.2021.3056112; MacDonald J. M., 2009, Economic Information Bulletin - USDA Economic Research Service; Machado G, 2015, VET RES, V46, DOI 10.1186/s13567-015-0219-7; Mallah SI, 2021, ANN CLIN MICROB ANTI, V20, DOI 10.1186/s12941-021-00438-7; Marathe MV, 2013, IEEE INTELL SYST, V28, P96, DOI 10.1109/MIS.2013.114; Martin M.J.C, 2011, SCIMAT HERRAMIENTA S; Marzo J.L., 2017, P 9 INT WORKSH RES N, P1, DOI [https://doi.org/10.1109/RNDM.2017.8093018, DOI 10.1109/RNDM.2017.8093018]; Mat B, 2021, BMC VET RES, V17, DOI 10.1186/s12917-021-02983-x; McConnel C, 2015, ANIMAL, V9, P1397, DOI 10.1017/S1751731115000385; Mekonnen GA, 2019, BMC VET RES, V15, DOI 10.1186/s12917-019-1962-1; Mekuria S, 2011, ACTA TROP, V117, P146, DOI 10.1016/j.actatropica.2010.11.009; Mitchell RM, 2012, EPIDEMIOL INFECT, V140, P231, DOI 10.1017/S0950268811000689; Mohr S, 2018, PREV VET MED, V157, P8, DOI 10.1016/j.prevetmed.2018.05.006; Monsalve Torra A, 2017, THESIS U ALICANTE AL; Mork MJ, 2010, PREV VET MED, V93, P183, DOI 10.1016/j.prevetmed.2009.09.016; Moslonka-Lefebvre M, 2015, J THEOR BIOL, V374, P165, DOI 10.1016/j.jtbi.2015.02.025; Nandana GM, 2019, 2019 9TH INTERNATIONAL CONFERENCE ON CLOUD COMPUTING, DATA SCIENCE &amp; ENGINEERING (CONFLUENCE 2019), P158, DOI 10.1109/CONFLUENCE.2019.8776916; O'Hare A, 2014, P ROY SOC B-BIOL SCI, V281, DOI 10.1098/rspb.2014.0248; O'Hare A, 2016, BMC BIOINFORMATICS, V17, DOI 10.1186/s12859-016-0903-2; Ogola J, 2018, PREV VET MED, V158, P43, DOI 10.1016/j.prevetmed.2018.06.010; Ozkan S, 2016, ENVIRON RES, V151, P130, DOI 10.1016/j.envres.2016.07.033; Permanasari AE, 2010, INT CONF COMPUT AUTO, P136, DOI 10.1109/ICCAE.2010.5451981; Perrin JB, 2015, PLOS ONE, V10, DOI 10.1371/journal.pone.0141273; Pomeroy LW, 2019, PLOS COMPUT BIOL, V15, DOI 10.1371/journal.pcbi.1007184; Preedy KF, 2010, J THEOR BIOL, V262, P441, DOI 10.1016/j.jtbi.2009.10.003; Prentice JC, 2014, PLOS ONE, V9, DOI 10.1371/journal.pone.0086563; Pulido-Medellín Martín Orlando, 2016, Rev. investig. vet. Perú, V27, P355, DOI 10.15381/rivep.v27i2.11658; Quiner CA, 2017, INT J HEALTH GEOGR, V16, DOI 10.1186/s12942-017-0100-1; Rahman AKMA, 2019, EPIDEMIOL INFECT, V147, DOI 10.1017/S0950268818003503; Rat-Aspert O, 2010, PREV VET MED, V93, P265, DOI 10.1016/j.prevetmed.2009.11.004; Rawdon TG, 2018, EPIDEMIOL INFECT, V146, P1138, DOI [10.1017/S0950268818001243, 10.1017/s0950268818001243]; Rodriguez-Prieto V, 2012, BMC VET RES, V8, DOI 10.1186/1746-6148-8-148; Rony M., 2021, P 12 INT C COMPUTING, DOI [10.1109/icccnt51525.2021.9579662, DOI 10.1109/ICCCNT51525.2021.9579662]; Ross EG, 2016, J VASC SURG, V64, P1515, DOI 10.1016/j.jvs.2016.04.026; Rossi G, 2015, EPIDEMICS-NETH, V11, P62, DOI 10.1016/j.epidem.2015.02.007; Sahneh FD, 2011, IEEE DECIS CONTR P, P3008, DOI 10.1109/CDC.2011.6161529; Santman-Berends IMGA, 2017, PREV VET MED, V146, P103, DOI 10.1016/j.prevetmed.2017.08.003; Sanz I, 2016, THESIS U RIOJA LOGRO; Scharrer S, 2014, PLOS ONE, V9, DOI 10.1371/journal.pone.0109329; Schumm P, 2015, COMPUT ELECTRON AGR, V116, P191, DOI 10.1016/j.compag.2015.06.016; Sedighi T, 2021, INT J ENV RES PUB HE, V18, DOI 10.3390/ijerph18073451; Shaban-Nejad A, 2017, ANN NY ACAD SCI, V1387, P44, DOI 10.1111/nyas.13271; Siettos CI, 2013, VIRULENCE, V4, P295, DOI 10.4161/viru.24041; Swarup S, 2014, AAMAS'14: PROCEEDINGS OF THE 2014 INTERNATIONAL CONFERENCE ON AUTONOMOUS AGENTS &amp; MULTIAGENT SYSTEMS, P1173; Tago D, 2016, PLOS ONE, V11, DOI 10.1371/journal.pone.0157450; Tarjan L, 2020, 2021 20TH INTERNATIONAL SYMPOSIUM INFOTEH-JAHORINA (INFOTEH), DOI 10.1109/INFOTEH51037.2021.9400672; Thompson RN, 2018, PLOS COMPUT BIOL, V14, DOI 10.1371/journal.pcbi.1006014; Thulke HH, 2018, PREV VET MED, V150, P151, DOI 10.1016/j.prevetmed.2017.11.017; Uyheng J., 2018, P GEN EV COMP C COMP, P310, DOI [10.1145/3205651.3205716, DOI 10.1145/3205651.3205716]; Valdes-Donoso P, 2017, FRONT VET SCI, V4, DOI 10.3389/fvets.2017.00002; van der Linden F., 2007, SOFTWARE PRODUCT LIN, DOI [10.1007/978-3-540-71437-8, DOI 10.1007/978-3-540-71437-8]; VanderWaal K, 2016, J R SOC INTERFACE, V13, DOI 10.1098/rsif.2016.0166; VanLeeuwen JA, 2010, PREV VET MED, V94, P54, DOI 10.1016/j.prevetmed.2009.11.012; Viana M, 2016, PARASITOLOGY, V143, P821, DOI 10.1017/S0031182016000044; Volkova VV, 2010, EPIDEMICS-NETH, V2, P116, DOI 10.1016/j.epidem.2010.05.004; Wang JJ, 2014, PLOS ONE, V9, DOI 10.1371/journal.pone.0092745; Wang X., 2020, P 2 INT C ROBOTICS I, DOI [10.1145/3438872.3439079, DOI 10.1145/3438872.3439079]; Wang Y, 2017, IEEE J BIOMED HEALTH, V21, P1280, DOI 10.1109/JBHI.2016.2614991; Weeramanthri TS, 2010, AUST HEALTH REV, V34, P477, DOI 10.1071/AH10901; Wolff C, 2017, BMC VET RES, V13, DOI 10.1186/s12917-017-1306-y; Younsi FZ, 2015, TSINGHUA SCI TECHNOL, V20, P460, DOI 10.1109/TST.2015.7297745; Zabel Taylor A, 2018, Interdiscip Perspect Infect Dis, V2018, P4373981, DOI 10.1155/2018/4373981; Zagmutt FJ, 2016, RISK ANAL, V36, P939, DOI 10.1111/risa.12482; Zimmer C, 2017, PLOS COMPUT BIOL, V13, DOI 10.1371/journal.pcbi.1005257</t>
  </si>
  <si>
    <t>10.3390/electronics11152463</t>
  </si>
  <si>
    <t>3R9AD</t>
  </si>
  <si>
    <t>Green Accepted, gold</t>
  </si>
  <si>
    <t>WOS:000839196300001</t>
  </si>
  <si>
    <t>Cortes, J; Castro, A; Arboleda, G; Sepulveda, V; Piragauta, N; Higuera, O</t>
  </si>
  <si>
    <t>Cortes, Jorge; Castro, Adriana; Arboleda, Guillermo; Sepulveda, Victor; Piragauta, Nidia; Higuera, Omar</t>
  </si>
  <si>
    <t>Hydrogeological and hydrogeochemical evaluation of groundwaters and surface waters in potential coalbed methane areas in Colombia</t>
  </si>
  <si>
    <t>INTERNATIONAL JOURNAL OF COAL GEOLOGY</t>
  </si>
  <si>
    <t>Hydrogeochemistry; Hydrogeology; Vertical electrical soundings; Water-rock interactions; Multivariate statistical analysis</t>
  </si>
  <si>
    <t>SHALLOW GROUNDWATER; BASIN; GAS</t>
  </si>
  <si>
    <t>A hydrogeological, hydrogeophysical, and hydrogeochemical study characterized 701 groundwaters and surface waters and 105 electrical resistivity measurements in sedimentary basins with great potential for unconventional hydrocarbon reservoirs, coal bed methane type (CBM). The study site was around the main coal mines of Cerrejon in La Guajira, Calenturitas and La Jagua in Cesar, Guacamayas in Cordoba, and timber type mines located in Catatumbo, Cundinamarca, and Boyaca departments in Colombia. The main hydrochemical facies in groundwater draining the sedimentary strata from Oligocene to Paleocene intervals in the Colombian coal zones were SO4-Ca-Mg, HCO3--Ca, HCO3-Ca-Mg, and SO4-HCO3 mixed waters. Depending on the type of rock drained along with the migration route of the groundwaters, the main anions found were SO42- &gt; HCO3- &gt; Cl-. The cations Ca2+ and Mg2+ (when associated with dolomite) were considered limestone contributions, while Na+ had a sandstone and shale. The geochemical processes explaining the groundwaters and surface waters chemical compositions included dissolution of halite and other salts in the La Guajira area; gypsum, calcite, and dolomite dissolution, plagioclase dissolution, pyrite oxidation, sulfate reduction with releasing of Fe(OH)(2), and dissolution and/or precipitation of silica; and mixing waters in different proportions and combinations in Catatumbo, Boyacn, and Cundinamarca. Multivariate statistical analyses were applied to describe similarities between hydrochemical composition, inorganic facies, and spatial distribution. Hydrogeological and hydrophysical results revealed that the Cerrejon area is an aquifer due to its groundwater table. The rest of the producer areas are aquitards. The coal layers in Cerrejon formation, due to its secondary porosity and high fracturing, behave as a semiconfined to confined aquifer with a high-water content, which must be relieved (depressurized) at the time of the exploitation. Because of its composition, particle size, and degree of consolidation, the coal units of the rest of the studied zones do not transmit the groundwater effectively, generating aquitards rather than aquifers. The 105 vertical electrical soundings permitted the determination of the depth and thickness of coal layers in each producer zone associated with its resistivity (Omega.m.).</t>
  </si>
  <si>
    <t>[Cortes, Jorge; Castro, Adriana; Arboleda, Guillermo] Antek SAS, Calle 25B 85B-54, Bogota, Colombia; [Sepulveda, Victor] Natl Hydrocarbon Agcy, Av Calle 26 59-65,Piso 2, Bogota, Colombia; [Piragauta, Nidia; Higuera, Omar] Colciencias, Carrera 7B Bis 132-28, Bogota, Colombia; [Cortes, Jorge] Petromarkers Inc, 16850 Saturn Lane, Pearland, TX 77058 USA</t>
  </si>
  <si>
    <t>Cortes, J (corresponding author), Antek SAS, Calle 25B 85B-54, Bogota, Colombia.;Cortes, J (corresponding author), Petromarkers Inc, 16850 Saturn Lane, Pearland, TX 77058 USA.;Sepulveda, V (corresponding author), Univ Queensland, Brisbane, Qld, Australia.</t>
  </si>
  <si>
    <t>laboratorio@empirialabs.com; v.sepulvedac@uq.net.au</t>
  </si>
  <si>
    <t>Castro Rodriguez, Adriana/0000-0002-4195-8210</t>
  </si>
  <si>
    <t>Agencia Nacional de Hidrocarburos - ANH (National Hydrocarbon Agency) [FP44842-569-2014]</t>
  </si>
  <si>
    <t>Agencia Nacional de Hidrocarburos - ANH (National Hydrocarbon Agency)</t>
  </si>
  <si>
    <t>This study was carried out by Antek S.A.S under the contract No FP44842-569-2014 for the Agencia Nacional de Hidrocarburos -ANH (National Hydrocarbon Agency) and Colciencias. The authors are deeply grateful to NHA, Colciencias, and Antek S.A.S for the analytical data for this publication. We are grateful to Dr. Jorge E. Mari ~no from UPTC, Sogamoso, Colombia, and Dr. Javier Garces from the University of Antioquia, Medellin, Colombia, for their constructive comments and suggestions on improving the original paper.</t>
  </si>
  <si>
    <t>Abdel-Lattif A, 2009, EARTH SCI RES J, V13, P166; Acharya BS, 2020, J HYDROL, V588, DOI 10.1016/j.jhydrol.2020.125061; Acosta J., 1997, MEMORIA EXPLICATIVA; Addinsoft, 2015, XLSTAT 2015 DAT AN S; Alvarado B., 1944, B MINAS PETROL, P7; ANH-Gems Ltda, 2013, CARACTERIZACION GEOL; Antek S.A., 2009, 17025 ISO; Antek S.A.S., 2015, CONTRATO FP 44842 56; APHA (American Water Works Association) AWWA (American Water Works Association) and WEF (Water Environment Federation), 2012, STANDARD METHODS EXA, V22nd; Barrero D., 2007, COLOMBIAN SEDIMENTAR, P1; Brindha K, 2011, EARTH SCI RES J, V15, P101; Bryner G., 2002, COALBED METHANE DEV; Carbocol Consorcio N.A.C.I., 1987, ESTUDIO PREFACTIBILI; Cheung K, 2009, INT J COAL GEOL, V77, P338, DOI 10.1016/j.coal.2008.07.012; Chidambaram S, 2012, J GEOL SOC INDIA, V80, P813, DOI 10.1007/s12594-012-0210-0; Chon HT, 1999, RESOUR GEOL, V49, P113, DOI 10.1111/j.1751-3928.1999.tb00037.x; Correa T., 2009, ENERGENICA, V41, P61; Cortes JE, 2016, J HYDROL, V539, P113, DOI 10.1016/j.jhydrol.2016.05.010; Drever J.I., 1997, GEOCHEMISTRY NATURAL, Vthird; Drobniak A, 2020, FUTURE ENERGY, P97, DOI [DOI 10.1016/B978-0-08-102886-5.00005-0, 10.1016/B978-0-08-102886-5.00005-0]; Duncanson S., 2011, CANADIAN BAR ASSOCIA; ESRI Inc, 2010, ARC GIS; Freeze A. R., 1979, GROUNDWATER; Golden software, SURFER, P12; Golding SD, 2013, INT J COAL GEOL, V120, P24, DOI 10.1016/j.coal.2013.09.001; ground thruth threkking.org, 2014, ACID MINE DRAINAGE; GWPRF-ALL Consulting, 2003, HDB COAL BED METHANE; Hajalilou B, 2009, J FOOD AGRIC ENVIRON, V7, P930; International Energy Agency, 2011, WORLD EN OUTL; Kowalsky MB, 2011, WATER RESOUR RES, V47, DOI 10.1029/2009WR008947; Langmuir D., 1997, AQUEOUS ENV GEOCHEMI, V1st, P245; Luna L., 2004, CARBON COLOMBIANO RE; Marino J, 2015, GAS ASOCIADO CARBON, P110; Mejia L.J., 1978, RECURSOS CARBONIFERO, P1807; Mendez B.A., 2007, THESIS U NACL AUTONO; Montes C., 2006, S CUENCAS SUBANDINAS; Morell I, 1996, SCI TOTAL ENVIRON, V177, P161, DOI 10.1016/0048-9697(95)04893-6; Nghia H.D., 2008, THESIS DISSERTATION; Payne A.A., 2004, U WYOMING; Prasanna MV, 2010, ENVIRON MONIT ASSESS, V168, P63, DOI 10.1007/s10661-009-1092-5; Rice CA, 2008, INT J COAL GEOL, V76, P76, DOI 10.1016/j.coal.2008.05.002; Rincon M.A., 2016, AREA CARMEN CHUCURI; Rincon M.A., 2018, VALLE MEDIO MAGDALEN; Schlumberger, 2003, OILFIELD REV, P8; Schlumberger water services, 2010, AQUACHEM VERSION 51; Silva EV, 2009, J S AM EARTH SCI, V27, P100, DOI 10.1016/j.jsames.2008.11.004; Stumm W., 1995, AQUATIC CHEM CHEM EQ; Underschultz JR, 2018, J NAT GAS SCI ENG, V52, P410, DOI 10.1016/j.jngse.2018.02.010; US Geological Survey, 2000, USGS FACT SHEET FS 1; Van Der Hammen Th., 2012, EARTH SCI RES J, V16, P1; Van Voast WA, 2003, AAPG BULL, V87, P667, DOI 10.1306/10300201079; Warner NR, 2013, APPL GEOCHEM, V35, P207, DOI 10.1016/j.apgeochem.2013.04.013; Worden RH, 1996, MINERAL MAG, V60, P259, DOI 10.1180/minmag.1996.060.399.02</t>
  </si>
  <si>
    <t>0166-5162</t>
  </si>
  <si>
    <t>1872-7840</t>
  </si>
  <si>
    <t>INT J COAL GEOL</t>
  </si>
  <si>
    <t>Int. J. Coal Geol.</t>
  </si>
  <si>
    <t>10.1016/j.coal.2022.103937</t>
  </si>
  <si>
    <t>Energy &amp; Fuels; Geosciences, Multidisciplinary</t>
  </si>
  <si>
    <t>Energy &amp; Fuels; Geology</t>
  </si>
  <si>
    <t>2Q7WK</t>
  </si>
  <si>
    <t>WOS:000820629900001</t>
  </si>
  <si>
    <t>Jaimes-Acero, YC; Granados-Comba, A; Bolivar-Leon, R</t>
  </si>
  <si>
    <t>Jaimes-Acero, Yenny-Carolina; Granados-Comba, Adriana; Bolivar-Leon, Rafael</t>
  </si>
  <si>
    <t>Soft Skills Requirements for Engineering Entrepreneurship</t>
  </si>
  <si>
    <t>entrepreneurship in engineering; soft skills in engineering; soft skills for entrepreneurship</t>
  </si>
  <si>
    <t>MARKET</t>
  </si>
  <si>
    <t>Entrepreneurship is a vector that helps economic growth, social scaling, and job generation. However, the soft skills required for engineering entrepreneurship are unclear. This research aims to determine which of these skills are highly demanded as a reference to improve competitiveness among engineers and undergraduate programs. A survey was designed and applied to graduated mechanical engineers from the University of Pamplona. The instrument with excellent validity and reliability, according to Cronbach's Alpha, included 4 different dimensions evaluating 10 soft skills with 18 indicators. The statistical tools used were the Kolmogorov-Smirnov test, median, mode, Kruskal-Wallis ANOVA, and the Games-Howell post hoc test. All soft skills investigated are required to start an engineering venture at a high development level. Likewise, the surveyed engineers demonstrated a high level of development of these skills in such a way that the gap between those required to start an engineering entrepreneurial venture and those developed is minor. In addition, the most effective way to increase its development is training in administrative areas or personal development. Likewise, there is a small gap between the skills developed by the respondents and those required in a venture, and the way to overcome this gap is training in administrative areas or personal development. Engineers dedicated to teaching, or working in public institutions, have less developed three of the six entrepreneurship indicators. Finally, the gap between soft skills developed in undergraduate programs and those required in entrepreneurship is significant. Engineering programs must include experiential training in soft skills and entrepreneurship in their curriculum.</t>
  </si>
  <si>
    <t>[Jaimes-Acero, Yenny-Carolina] Serv Nacl Aprendizaje SENA, Pamplona Norte Santander, Colombia; [Granados-Comba, Adriana] Univ Pedagog &amp; Tecnol Colombia, Tunja Boyaca, Colombia; [Bolivar-Leon, Rafael] Univ Pamplona, Pamplona Norrte Santande, Colombia</t>
  </si>
  <si>
    <t>Servicio Nacional de Aprendizaje; Universidad Pedagogica y Tecnologica de Colombia (UPTC)</t>
  </si>
  <si>
    <t>Jaimes-Acero, YC (corresponding author), Serv Nacl Aprendizaje SENA, Pamplona Norte Santander, Colombia.</t>
  </si>
  <si>
    <t>ycjaimesa@misena.edu.co; adriana.granados@uptc.edu.co; rbolivarl@unipamplona.edu.co</t>
  </si>
  <si>
    <t>Acero Y. C, WORLD T ENG TECHNOLO, V20, P2022; Ahern A, 2019, STUD HIGH EDUC, V44, P816, DOI 10.1080/03075079.2019.1586325; Akinbobola O. I., MANAGEMENT EC RES J, V6, P1; [Anonymous], 2022, REV FACULTAD INGENIE, V31; Besancon M., 2013, EDUC CHILD PSYCHOL, V30, P79, DOI [10.53841/bpsecp.2013.30.2.79, DOI 10.53841/BPSECP.2013.30.2.79, DOI 10.1177/]; Bustos G. Chigo., 2006, THESIS U CHILE; Chamorro-Premuzic T, 2010, EDUC PSYCHOL-UK, V30, P221, DOI 10.1080/01443410903560278; Check J., 2012, BOOK RES METHODS ED, P255, DOI [10.4135/9781544307725.n12, DOI 10.4135/9781544307725.N12]; Chenoy D, 2019, INT J TRAIN RES, V17, P112, DOI 10.1080/14480220.2019.1639294; Fomunyam K. G, 2018, INT J MECH ENG TECHN, V9, P1243; Gang G. C. A, 2020, INT J ADV SCI TECHNO, V29, P702; Ismail W. Omar Ali Saifuddin Wan, 2019, IOP Conference Series: Materials Science and Engineering, V697, DOI 10.1088/1757-899X/697/1/012016; Itani M, 2016, J PROF ISS ENG ED PR, V142, DOI 10.1061/(ASCE)EI.1943-5541.0000247; Jaimes Acero Y. C, 2020, THESIS U PAMPLONA; Kairupan S. B., 2018, INT J ENG TECHNOLOGY, V7, P1; Kofman F, 2018, EMPRESA CONSCIENTE C; Kofman F, 2008, GRITO SAGR, V3; Krishnan SN, 2022, INT J DISAST RISK RE, V72, DOI 10.1016/j.ijdrr.2022.102830; Laffineur C, 2017, SMALL BUS ECON, V49, P889, DOI 10.1007/s11187-017-9857-7; Linkedln, 2019, GLOBAL TALENT TRENDS; Ozaralli N., 2016, J GLOBAL ENTREPRENEU, V6, P1, DOI [10.1186/s40497-016-0047-x, DOI 10.1186/S40497-016-0047-X]; Ponto Julie, 2015, J Adv Pract Oncol, V6, P168; Sanchez O. Marrero, REV CIENTIFICA ECOCI, V5, P1; Selwyn R, 2020, HIGH EDUC PEDAGOG, V5, P19, DOI 10.1080/23752696.2019.1710550; Shekhawat S., 2020, ENHANCING FUTURE SKI, P263; Dubey RS, 2022, INT J HUM RESOUR MAN, V33, P2630, DOI 10.1080/09585192.2020.1871399; Sousa M., 2014, RECENT ADV APPL EC E, P135; Tang K. N., 2019, TURKISH ONLINE J ED, V18, P1; Tem S., 2020, INT ED RES, V3, P1, DOI [10.30560/ier.v3n3p1, DOI 10.30560/IER.V3N3P1]; Teng WL, 2019, EDUC TRAIN, V61, P590, DOI 10.1108/ET-07-2018-0154; Varol C, 2010, GAZI U J SCI, V23, P97; Voda AI, 2019, SUSTAINABILITY-BASEL, V11, DOI 10.3390/su11041192; Zergout I., 2020, INT J HIGH ED, V9, P25, DOI [10.5430/ijhe.v9n2p25, DOI 10.5430/IJHE.V9N2P25]</t>
  </si>
  <si>
    <t>MAR 25</t>
  </si>
  <si>
    <t>e14167</t>
  </si>
  <si>
    <t>10.19053/01211129.v30.n56.2021.14167</t>
  </si>
  <si>
    <t>0V1XG</t>
  </si>
  <si>
    <t>WOS:000788137700001</t>
  </si>
  <si>
    <t>Cheng, PH; Molina, J; Lin, MC; Liu, HH; Chang, CY</t>
  </si>
  <si>
    <t>Cheng, Ping-Han; Molina, Jose; Lin, Mei-Chun; Liu, Hsiang-Hu; Chang, Chun-Yen</t>
  </si>
  <si>
    <t>A New TPACK Training Model for Tackling the Ongoing Challenges of COVID-19</t>
  </si>
  <si>
    <t>APPLIED SYSTEM INNOVATION</t>
  </si>
  <si>
    <t>pre-service teacher education; science education; CloudClassRoom; TPACK</t>
  </si>
  <si>
    <t>PEDAGOGICAL CONTENT KNOWLEDGE; PRESERVICE TEACHERS; TECHNOLOGY INTEGRATION; MATHEMATICS TEACHERS; SCIENCE TEACHERS; EDUCATION; STUDENTS; ICT; PERCEPTIONS; ADVANTAGES</t>
  </si>
  <si>
    <t>This study investigated the effects of integrating the CloudClassRoom (CCR) and the DEmo-CO-design/teach-feedback-DEbriefing (DECODE) model to improve pre-service teachers' online technological pedagogical and content knowledge (TPACK). The DECODE model includes four stages: Teacher's DEmonstrations, Students CO-train in using CloudClassRoom, Students CO-design a CloudClassRoom-integrated course, Students CO-teach, and finally DE-brief what they have learned through the stages mentioned above. This model integrates teacher-student experiences, teaching-learning processes, and technology-embedded systems to promote collaborative and active learning, information and resources sharing, and creative communication. A self-evaluating questionnaire with open-ended questions evaluated participants' technological pedagogical and content knowledge outcomes. CloudClassRoom significantly increases technology-related knowledge considering the current social distancing measures provoked by COVID-19. The findings show that DECODE with CloudClassRoom provides an integrated process for improving pre-service teachers' technological pedagogical and content knowledge, assisting pre-service teachers in designing educational technology-integrated courses.</t>
  </si>
  <si>
    <t>[Cheng, Ping-Han; Chang, Chun-Yen] Natl Taiwan Normal Univ, Sci Educ Ctr, Taipei 116, Taiwan; [Cheng, Ping-Han] Natl Taipei Univ Educ, Dept Sci Educ, Taipei 106, Taiwan; [Molina, Jose] Univ Pedagog &amp; Tecnol Colombia, Fac Ciencias Educ, Tunja 150003, Colombia; [Lin, Mei-Chun; Liu, Hsiang-Hu; Chang, Chun-Yen] Natl Taiwan Normal Univ, Grad Inst Sci Educ, Taipei 116, Taiwan</t>
  </si>
  <si>
    <t>National Taiwan Normal University; National Taipei University of Education; Universidad Pedagogica y Tecnologica de Colombia (UPTC); National Taiwan Normal University</t>
  </si>
  <si>
    <t>Chang, CY (corresponding author), Natl Taiwan Normal Univ, Sci Educ Ctr, Taipei 116, Taiwan.;Chang, CY (corresponding author), Natl Taiwan Normal Univ, Grad Inst Sci Educ, Taipei 116, Taiwan.</t>
  </si>
  <si>
    <t>phcheng@mail.ntue.edu.tw; jose.molina05@uptc.edu.co; fresh438@gmail.com; thomas7549@gmail.com; changcy@ntnu.edu.tw</t>
  </si>
  <si>
    <t>Chang, Chun-Yen/B-1307-2008; Molina, José/ADK-7112-2022</t>
  </si>
  <si>
    <t>Chang, Chun-Yen/0000-0003-2373-2004; Molina, José/0000-0003-3313-1720; Lin, Mei-Chun/0000-0002-9814-7339; Cheng, Ping-Han/0000-0001-5768-6865</t>
  </si>
  <si>
    <t>National Science Council of Taiwan [MOST 107-2634-F-008-003, MOST 110-2423-H-003-003]; National Taiwan Normal University (NTNU) from The Featured Areas Research Center Program within the Ministry of Education (MOE) in Taiwan</t>
  </si>
  <si>
    <t>National Science Council of Taiwan(Ministry of Science and Technology, Taiwan); National Taiwan Normal University (NTNU) from The Featured Areas Research Center Program within the Ministry of Education (MOE) in Taiwan</t>
  </si>
  <si>
    <t>This work was financially supported by the National Science Council of Taiwan under contracts the MOST 107-2634-F-008-003, the MOST 110-2423-H-003-003 and the Institute for Research Excellence in Learning Sciences of National Taiwan Normal University (NTNU) from The Featured Areas Research Center Program within the framework of the Higher Education Sprout Project by the Ministry of Education (MOE) in Taiwan.</t>
  </si>
  <si>
    <t>Agyei DD, 2014, EDUC INF TECHNOL, V19, P155, DOI 10.1007/s10639-012-9204-1; Agyei DD, 2012, AUSTRALAS J EDUC TEC, V28, P547; AJZEN I, 1991, ORGAN BEHAV HUM DEC, V50, P179, DOI 10.1016/0749-5978(91)90020-T; Alexander B., 2019, EDUCAUSE HORIZON REP; Almahasees Z, 2021, FRONT EDUC, V6, DOI 10.3389/feduc.2021.638470; Angeli C., 2018, P AERA ANN C NEW YOR; Angeli C, 2013, J EDUC COMPUT RES, V48, P199, DOI 10.2190/EC.48.2.e; Angeli C, 2009, COMPUT EDUC, V52, P154, DOI 10.1016/j.compedu.2008.07.006; Araujo R, 2022, MATH ENTHUS, V19, P594; Archambault LM, 2010, COMPUT EDUC, V55, P1656, DOI 10.1016/j.compedu.2010.07.009; Batubara B.M., 2021, BUDAPEST INT RES CRI, V4, P450, DOI 10.33258/birci.v4i1.1626; Belda-Medina J., 2021, INT J APPL LINGUIST, V10, P63, DOI [10.7575/aiac.ijalel.v.10n.1p.63, DOI 10.7575/AIAC.IJALEL.V.10N.1P.63]; Bickle M. C., 2018, Q REV DISTANCE ED, V19, P1; Brown J. S., 1989, ED RES, V18, P32, DOI DOI 10.3102/0013189X018001032; Chang CY, 2012, AUSTRALAS J EDUC TEC, V28, P983; Chien Y.-T., 2015, SCI ED E ASIA, P549; Chien YT, 2016, EDUC RES REV-NETH, V17, P1, DOI 10.1016/j.edurev.2015.10.003; Chien YT, 2015, EURASIA J MATH SCI T, V11, P1089; Chien YT, 2012, TEACH TEACH EDUC, V28, P578, DOI 10.1016/j.tate.2011.12.005; Chuang HH, 2015, COMPUT EDUC, V86, P182, DOI 10.1016/j.compedu.2015.03.016; Dalgarno N, 2007, TEACH TEACH EDUC, V23, P1051, DOI 10.1016/j.tate.2006.04.037; Davis NL, 2019, J TEACH TRAVEL TOUR, V19, P256, DOI 10.1080/15313220.2019.1612313; Dhawan S., 2020, J EDUC TECHNOL SYST, V49, P5, DOI [DOI 10.1177/0047239520934018, 10.1177/0047239520934018]; Diaz-Noguera MD, 2022, INT J ENV RES PUB HE, V19, DOI 10.3390/ijerph19020654; Donnelly Robin, 2022, Prospects (Paris), V51, P601, DOI 10.1007/s11125-021-09582-6; Dumford AD, 2018, J COMPUT HIGH EDUC, V30, P452, DOI 10.1007/s12528-018-9179-z; Durdu L, 2017, AUST J TEACH EDUC, V42, P150, DOI 10.14221/ajte.2017v42n11.10; Erna M., 2021, INT J INTERACT MOB T, V15, P39, DOI [10.3991/ijim.v15i01.15679, DOI 10.3991/IJIM.V15I01.15679]; Eshet-Alkalai Yoram, 2004, J ED MULTIMEDIA HYPE, V139, P93; Gomez-Trigueros IM, 2021, EUR J INVEST HEALTH, V11, P1333, DOI 10.3390/ejihpe11040097; Grossman R, 2013, ACAD MANAG LEARN EDU, V12, P219, DOI 10.5465/amle.2011.0527; Guzey Selcen, 2009, Contemporary Issues in Technology and Teacher Education, V9, P25; Hartshorne R., 2020, J TECHNOL TEACH ED, V28, P137; Hechter R. P., 2012, ED RES PERSPECTIVES, V39, P136; Hokor E.K., 2021, INT J STUD ED SCI, V2, P120; Houston L., 2018, J ED ONLINE, V15, P96, DOI [10.9743/jeo.2018.15.3.4, DOI 10.9743/JEO.2018.15.3.4]; Husni Rahiem M.D., 2021, ASIAN J U ED, V17, P1, DOI [10.24191/ajue.v17i1.11525, DOI 10.24191/AJUE.V17I1.11525]; Jang S.J, 2009, DEV RES BASED MODEL; Jang SJ, 2013, AUSTRALAS J EDUC TEC, V29, P566; Jeon Eun Sun, 2019, The International Journal of Advanced Culture Technology, V7, P43, DOI 10.17703/IJACT.2019.7.1.43; Khan S., 2014, INT J ED DEV USING I, V10, P21; Kleickmann T, 2013, J TEACH EDUC, V64, P90, DOI 10.1177/0022487112460398; Koehler Matthew J., 2009, Contemporary Issues in Technology and Teacher Education, V9, P60; Koehler M. J., 2005, Journal of Educational Computing Research, V32, P131, DOI 10.2190/0EW7-01WB-BKHL-QDYV; Koehler MJ, 2007, COMPUT EDUC, V49, P740, DOI 10.1016/j.compedu.2005.11.012; Kramarski B, 2009, EDUC RES EVAL, V15, P465, DOI 10.1080/13803610903444550; Kurt G., 2013, P SITE 2013 SOC INF, P5073; Liou WK, 2016, J SCI EDUC TECHNOL, V25, P460, DOI 10.1007/s10956-016-9606-8; Liu C, 2021, INT J ENV RES PUB HE, V18, DOI 10.3390/ijerph18136730; Yunus MM, 2021, SUSTAINABILITY-BASEL, V13, DOI 10.3390/su13063524; Mishra P, 2006, TEACH COLL REC, V108, P1017, DOI 10.1111/j.1467-9620.2006.00684.x; Moorhouse BL, 2020, J EDUC TEACHING, V46, P609, DOI 10.1080/02607476.2020.1755205; Muthuprasad T, 2021, Soc Sci Humanit Open, V3, P100101, DOI 10.1016/j.ssaho.2020.100101; Nicolo G, 2021, SUSTAINABILITY-BASEL, V13, DOI 10.3390/su13063468; Niess ML, 2005, TEACH TEACH EDUC, V21, P509, DOI 10.1016/j.tate.2005.03.006; Noreen R., 2019, B ED RES, V41, P145; Oyedotun TD., 2020, RES GLOBALIZATION, V2, DOI 10.1016/j.resglo.2020.100029; Palvia S, 2018, J GLOB INF TECH MAN, V21, P233, DOI 10.1080/1097198X.2018.1542262; Pamuk S, 2012, J COMPUT ASSIST LEAR, V28, P425, DOI 10.1111/j.1365-2729.2011.00447.x; Philipsen B, 2019, ETR&amp;D-EDUC TECH RES, V67, P1145, DOI 10.1007/s11423-019-09645-8; Moreno JR, 2019, SUSTAINABILITY-BASEL, V11, DOI 10.3390/su11071870; Ruiz LMS, 2021, SUSTAINABILITY-BASEL, V13, DOI 10.3390/su13063532; Schmidt DA, 2009, J RES TECHNOL EDUC, V42, P123, DOI 10.1080/15391523.2009.10782544; Singh V, 2019, AM J DISTANCE EDUC, V33, P289, DOI 10.1080/08923647.2019.1663082; Srisawasdi N, 2012, PROCD SOC BEHV, V46, P3235, DOI 10.1016/j.sbspro.2012.06.043; Steele J. P., 2018, J SCHOLARSHIP TEACHI, V18, P130, DOI DOI 10.14434/JOSOTL.V18I4.23430; Stohr C, 2020, COMPUT EDUC, V147, DOI 10.1016/j.compedu.2019.103789; Supriatna N., 2020, INNOV SOC STUD J, V2, P135; Swallow MJC, 2017, J RES TECHNOL EDUC, V49, P228, DOI 10.1080/15391523.2017.1347537; Tang T, 2023, INTERACT LEARN ENVIR, V31, P1077, DOI 10.1080/10494820.2020.1817761; Tondeur J, 2017, AUSTRALAS J EDUC TEC, V33, P46, DOI 10.14742/ajet.3504; Wang YH, 2017, J COMPUT ASSIST LEAR, V33, P35, DOI 10.1111/jcal.12164; Wu P.-H, 2017, INT J DIGIT LEARN TE, V9, P1, DOI [10.3966/2071260X2017040902001, DOI 10.3966/2071260X2017040902001]; Yang XT, 2021, J SCI EDUC TECHNOL, V30, P380, DOI 10.1007/s10956-020-09877-x; Yang ZK, 2007, COMPUT EDUC, V48, P171, DOI 10.1016/j.compedu.2004.12.007; Young JR, 2013, J RES TECHNOL EDUC, V46, P149, DOI 10.1080/15391523.2013.10782617; Zach S., 2020, J PHYS ED SPORT, V20, P1402, DOI [10.7752/jpes.2020.03193, DOI 10.7752/JPES.2020.03193]; Zafar H., 2021, LANG INDIA, V21, P149; Zhu X., 2020, P INT C LEARN REPR I, V2, P695, DOI 10.1007/s42438-020-00126-3</t>
  </si>
  <si>
    <t>2571-5577</t>
  </si>
  <si>
    <t>APPL SYST INNOV</t>
  </si>
  <si>
    <t>Appl. Syst. Innov.</t>
  </si>
  <si>
    <t>10.3390/asi5020032</t>
  </si>
  <si>
    <t>Computer Science, Information Systems; Engineering, Electrical &amp; Electronic; Telecommunications</t>
  </si>
  <si>
    <t>Computer Science; Engineering; Telecommunications</t>
  </si>
  <si>
    <t>0R5WF</t>
  </si>
  <si>
    <t>WOS:000785664100001</t>
  </si>
  <si>
    <t>Pulido-Medellin, MO; Lopez-Buitrago, HA; Bulla-Castaneda, DM; Garcia-Corredor, DJ; Diaz-Anaya, AM; Giraldo-Forero, JC; Higuera-Piedrahita, RI</t>
  </si>
  <si>
    <t>Pulido-Medellin, Martin-Orlando; Lopez-Buitrago, Henry-Alexander; Bulla-Castaneda, Diana-Maria; Garcia-Corredor, Diego-Jose; Diaz-Anaya, Adriana-Maria; Giraldo-Forero, Julio-Cesar; Higuera-Piedrahita, Rosa-Isabel</t>
  </si>
  <si>
    <t>Diagnosis of Gastrointestinal Parasites in Bovines of the Department of Boyaca, Colombia</t>
  </si>
  <si>
    <t>helminths; nematodes; parasitic diseases; parasitology; prevalence</t>
  </si>
  <si>
    <t>DAIRY-CATTLE; PURPOSE CATTLE; NEMATODES; PREVALENCE; IMPACT; STATE; INFECTIONS; RESISTANCE; BURDEN; HERDS</t>
  </si>
  <si>
    <t>Parasitic diseases are considered to be one of the most prevalent pathologies worldwide. They are characterized as one of the most critical sanitary problems in cattle, causing a decrease in the productive capacity of parasitized animals, which translates into economic losses. Intestinal parasitism in cattle is caused by protozoa and helminths, and its manifestation is generally multi-etiological. Clinical signs in gastrointestinal parasitism may vary depending on parasite load, parasite species, and host immunity. This research aimed to determine the prevalence of the main parasitic families affecting cattle in the central province of the department of Boyaca. A cross-sectional study with simple random sampling was carried out, where 716 fecal samples were taken and processed using a modified Ritchie technique. An overall prevalence of 95,6% was determined, and the most prevalent families were Trichostrongylidae, Eimeriidae, Taeniidae, and Trichuridae. The age showed no significant statistical association with most of the parasitic families, except for the Strongyloididae family. The breeds showed a correlation with the Trichostrongylidae, Eimeriidae, Strongylidae, Chabertiidae, and Taeniidae families. The results show the high prevalence of GIP (gastrointestinal parasites) in cattle of the central province of the department of Boyaca.</t>
  </si>
  <si>
    <t>[Pulido-Medellin, Martin-Orlando; Lopez-Buitrago, Henry-Alexander; Bulla-Castaneda, Diana-Maria; Garcia-Corredor, Diego-Jose; Diaz-Anaya, Adriana-Maria; Giraldo-Forero, Julio-Cesar; Higuera-Piedrahita, Rosa-Isabel] Univ Pedagog &amp; Tecnol Colombia, Tunja, Boyaca, Colombia; [Diaz-Anaya, Adriana-Maria] Univ Namur, Namur, Belgium; [Giraldo-Forero, Julio-Cesar] Univ INCCA Colombia, Bogota, Distrito Capita, Colombia; [Higuera-Piedrahita, Rosa-Isabel] Univ Nacl Autonoma Mexico, Cuautitlan, Mexico</t>
  </si>
  <si>
    <t>Universidad Pedagogica y Tecnologica de Colombia (UPTC); University of Namur; Universidad Nacional Autonoma de Mexico</t>
  </si>
  <si>
    <t>Pulido-Medellin, MO (corresponding author), Univ Pedagog &amp; Tecnol Colombia, Tunja, Boyaca, Colombia.</t>
  </si>
  <si>
    <t>martin.pulido@uptc.edu.co; henryalexanderlopez@gmail.com; diana.bulla@uptc.edu.co; diegojose.garcia@uptc.edu.co; jcesargiraldo@gmail.com; rhiguera05@comunidad.unam.mx</t>
  </si>
  <si>
    <t>Garcia Corredor, Diego Jose/0000-0001-5122-5435; Lopez, Henrry/0000-0002-6482-2412; Giraldo Forero, Julio Cesar/0000-0001-7308-8443; Bulla-Castaneda, Diana Maria/0000-0002-3740-9454; Higuera Piedrahita, Rosa Isabel/0000-0002-9231-1556; Pulido-Medellin, Martin Orlando/0000-0003-4989-1476</t>
  </si>
  <si>
    <t>Antonio FF, 2015, ABANICO VET, V5, P13; Aram AM, 2020, APPL ECOL ENV RES, V18, P7279, DOI 10.15666/aeer/1805_72797287; Ayele A., 2020, ONLINE J ANIMAL FEED, V10, P59, DOI [10.36380/scil.2020.ojafr, DOI 10.36380/SCIL.2020.OJAFR]; Bennema SC, 2010, VET PARASITOL, V173, P247, DOI 10.1016/j.vetpar.2010.07.002; Borges FD, 2015, VET PARASITOL, V212, P299, DOI 10.1016/j.vetpar.2015.06.015; Bowman D., 2014, GEORGIS PARASITOLOGY, V10th; BRIONES-MONTERO A., 2020, REV INV VET PERU, V31; Pinilla JC, 2018, VET PARASITOL REG ST, V12, P26, DOI 10.1016/j.vprsr.2018.01.003; Colina J. C., 2013, REV CIENTIFICA FACUL, V33, P76; Cornejo-Soto D. J., 2019, THESIS U NACL SAN AG; Craig TM, 2018, VET CLIN N AM-FOOD A, V34, P185, DOI 10.1016/j.cvfa.2017.10.008; da Silva E. R. R. V., 2008, REV CIENTIFICA ELETR, V6, P1; Estupiñan Pedraza Lorena Andrea, 2014, Apuntes del Cenes, V33, P163; Figueroa-Antonio A., 2018, Agroproductividad, V11, P97; Geurden T, 2014, VET PARASITOL, V201, P59, DOI 10.1016/j.vetpar.2014.01.016; Giridhari Das, 2018, Indian Journal of Veterinary Sciences and Biotechnology, V13, P92, DOI 10.21887/ijvsbt.v13i4.11567; Healey K, 2018, VET PARASITOL, V253, P48, DOI 10.1016/j.vetpar.2018.02.010; Henriques RF, 2021, ARQ BRAS MED VET ZOO, V73, P25, DOI [10.1590/1678-4162-12013, 10.1590/1678-4162-12013.]; Huang CC, 2014, J MICROBIOL IMMUNOL, V47, P70, DOI 10.1016/j.jmii.2012.10.004; Instituto Colombiano Agropecuario (ICA), 2018, CENS; Rodriguez-Vivas RI, 2017, REV MEX CIENC PECU, V8, P61, DOI 10.22319/rmcp.v8i1.4305; Magaro H., 2011, TECNICAS DIAGNOSTICO; Mahmood F, 2014, J ANIM PLANT SCI-PAK, V24, P743; May K, 2017, VET PARASITOL, V245, P119, DOI 10.1016/j.vetpar.2017.08.024; Momcilovic S, 2019, CLIN MICROBIOL INFEC, V25, P290, DOI 10.1016/j.cmi.2018.04.028; Morales Gustavo, 2012, Rev. investig. vet. Perú, V23, P80; Nurtjahyani S. D., 2015, Asian Pacific Journal of Tropical Disease, V5, P614, DOI 10.1016/S2222-1808(15)60899-4; Okulewicz Anna, 2017, Annals of Parasitology, V63, P15, DOI 10.17420/ap6301.79; Piekarska J, 2013, VET PARASITOL, V198, P250, DOI 10.1016/j.vetpar.2013.07.039; Leon JCP, 2019, VET WORLD, V12, P48, DOI 10.14202/vetworld.2019.48-54; Pryce JE, 2000, J DAIRY SCI, V83, P2664, DOI 10.3168/jds.S0022-0302(00)75160-5; Scott H, 2019, J DAIRY SCI, V102, P8251, DOI 10.3168/jds.2018-16115; Shah S. S. A., 2021, Sarhad Journal of Agriculture, V37, P152, DOI 10.17582/journal.sja/2021/37.1.152.157; Soca M., 2005, Pastos y Forrajes, V28, P175; Squire SA, 2019, ACTA TROP, V199, DOI 10.1016/j.actatropica.2019.105126; Sun P, 2018, VET PARASITOL, V252, P107, DOI 10.1016/j.vetpar.2018.01.023; Taylor M., 2016, VET PARASITOL, V4th; Urdaneta-Fernandez M, 2011, REV UNIV ZULIA, V2, P184; Woodgate R.G., 2017, ANTIMICROBIAL DRUG R, P1305</t>
  </si>
  <si>
    <t>10.14483/23448350.18500</t>
  </si>
  <si>
    <t>1N4IP</t>
  </si>
  <si>
    <t>WOS:000800621400009</t>
  </si>
  <si>
    <t>Cordero, JFB; Martinez, DOS; Saavedra, AJG; Velastegui, JGL; Coronado, WRC; Sanchez, DCC; Montero, MAB; Avila, CJR</t>
  </si>
  <si>
    <t>Bello Cordero, Jhon Fredy; Salazar Martinez, Diego Orlando; Gipis Saavedra, Antonio Jose; Llerena Velastegui, Jordan Gonzalo; Cardenas Coronado, William Ricardo; Caicedo Sanchez, Diana Carolina; Betancourt Montero, Miguel Angel; Rojas Avila, Cristian Jhoan</t>
  </si>
  <si>
    <t>Use of hypothermia in post cardiac arrest patients: benefits</t>
  </si>
  <si>
    <t>ARCHIVOS DE MEDICINA</t>
  </si>
  <si>
    <t>Hypothermia; cardiac arrest; benefits</t>
  </si>
  <si>
    <t>Background: heart disease is the leading cause of death in the United States. Heart attacks (also known as myocardial infarctions) occur when part of the heart muscle does not receive adequate blood flow. Early intervention is essential to prevent mortality. Therapeutic Hypothermia has proven neuroprotective effects in global cerebral ischemia. Methodology: a narrative review was carried out through various databases from January 2014 to February 2022; the search and selection of articles was carried out in journals indexed in English. The following keywords were used: hypothermia, cardiac arrest, benefits. Results: one of the problems faced in a cardiorespiratory arrest is the possible hypoxic-ischemic brain damage. Patients who underwent hypothermia at 33 degrees C have a longer survival and a better neurological outcome. Fever is one of the symptoms that could occur in patients who go into cardiac arrest, causing systemic and local damage. Conclusions: this review offers updated and detailed information on the therapeutic effects of hypothermia, as well as information on the possible effects of not applying it and applying it.</t>
  </si>
  <si>
    <t>[Bello Cordero, Jhon Fredy] Fdn Univ Ciencias Salud Bogota, Bogota, Colombia; [Salazar Martinez, Diego Orlando] Univ Cent Ecuador, Quito, Ecuador; [Gipis Saavedra, Antonio Jose] Univ Tecnol Pereira, Med Crit &amp; Cuidados Intens, Pereira, Colombia; [Llerena Velastegui, Jordan Gonzalo] Pontificia Univ Catolica Ecuador, Quito, Ecuador; [Cardenas Coronado, William Ricardo] Univ Ciencias Aplicadas &amp; Ambient UDCA, Bogota, Colombia; [Caicedo Sanchez, Diana Carolina] Univ Pedagog Tecnol &amp; Colombia UPTC, Tunja, Colombia; [Betancourt Montero, Miguel Angel] Univ Libre, Cali, Colombia; [Rojas Avila, Cristian Jhoan] Fdn Univ Juan N Corpas, Bogota, Colombia</t>
  </si>
  <si>
    <t>Fundacion Universitaria de Ciencias de la Salud (FUCS); Universidad Central del Ecuador; Universidad Tecnologica de Pereira; Pontificia Universidad Catolica del Ecuador; Universidad Pedagogica y Tecnologica de Colombia (UPTC)</t>
  </si>
  <si>
    <t>Martinez, DOS (corresponding author), Univ Cent Ecuador, Quito, Ecuador.</t>
  </si>
  <si>
    <t>diorsama@gmail.com</t>
  </si>
  <si>
    <t>Angilletta MJ, 2019, NEUROSCI LETT, V692, P127, DOI 10.1016/j.neulet.2018.10.046; Apple FS, 2017, CLIN CHEM, V63, P73, DOI 10.1373/clinchem.2016.255109; Baptiste J., 2015, BMC PART SPRINGER NA; Benjamin, 2018, CIRCULATION, V137, pE493, DOI 10.1161/CIR.0000000000000573; Benjamin EJ, 2017, CIRCULATION, V135, pE146, DOI [10.1161/CIR.0000000000000485, 10.1161/CIR.0000000000000530, 10.1161/CIR.0000000000000558]; Bhattacharjee S, 2016, J CLIN ANESTH, V33, P225, DOI 10.1016/j.jclinane.2016.03.001; Bonaventura J, 2016, ARCH MED SCI, V12, P1135, DOI 10.5114/aoms.2016.61917; Bougouin W, 2018, J THORAC DIS, V10, P49, DOI 10.21037/jtd.2017.12.13; Buse S, 2017, RESUSCITATION, V118, P35, DOI 10.1016/j.resuscitation.2017.07.003; Cavaillon JM, 2018, TOXICON, V149, P45, DOI 10.1016/j.toxicon.2017.10.016; Chan PS, 2016, JAMA-J AM MED ASSOC, V316, P1375, DOI 10.1001/jama.2016.14380; Chris N., 2020, LIFE FASTLANE; Dankiewicz J, 2021, NEW ENGL J MED, V384, P2283, DOI 10.1056/NEJMoa2100591; Forni AA, 2015, RESUSCITATION, V89, P64, DOI 10.1016/j.resuscitation.2015.01.002; Geurts M, 2014, CRIT CARE MED, V42, P231, DOI 10.1097/CCM.0b013e3182a276e8; Healthy People, 2020, INCR PROP AD AG 20 Y; Hifumi T, 2017, SCAND J TRAUMA RESUS, V25, DOI 10.1186/s13049-017-0465-y; Itenov TS, 2018, LANCET RESP MED, V6, P183, DOI 10.1016/S2213-2600(18)30004-3; Kim F, 2015, STROKE, V46, P592, DOI 10.1161/STROKEAHA.114.006975; Ko PY, 2019, ACTA CARDIOL SIN, V35, P394, DOI 10.6515/ACS.201907_35(4).20190113A; Kuchena A, 2014, CURR OPIN CRIT CARE, V20, P507, DOI 10.1097/MCC.0000000000000125; Leong SHB, 2017, SINGAP MED J, V58, P408, DOI 10.11622/smedj.2017067; Mader TJ, 2014, THER HYPOTHERMIA TEM, V4, P21, DOI 10.1089/ther.2013.0018; Munta K, 2017, INDIAN J CRIT CARE M, V21, P99, DOI 10.4103/ijccm.IJCCM_443_16; National Center for Health Statistics, 2016, NATL HLTH INTERVIEW; Olivares B., 2021, EUR HEART J, V42, DOI [10.1093/eurheartj/ehab724.1550, DOI 10.1093/EURHEARTJ/EHAB724.1550]; Patel A, 2018, J AM COLL CARDIOL, V71, P808, DOI 10.1016/j.jacc.2017.10.104; Prajitha N, 2018, IMMUNOL LETT, V204, P38, DOI 10.1016/j.imlet.2018.10.006; Presciutti A, 2022, ANN NY ACAD SCI, V1507, P60, DOI 10.1111/nyas.14676; Rawal G, 2015, J CLIN DIAGN RES, V9, pOD1, DOI 10.7860/JCDR/2015/14918.6491; Salinas P, 2015, WORLD J CARDIOL, V7, P423, DOI 10.4330/wjc.v7.i7.423; Schenone AL, 2016, RESUSCITATION, V108, P102, DOI 10.1016/j.resuscitation.2016.07.238; Soleimanpour H, 2014, IRAN RED CRESCENT ME, V16, DOI 10.5812/ircmj.17497; Sonnier Michael, 2020, J Am Coll Emerg Physicians Open, V1, P107, DOI 10.1002/emp2.12022; Sun YJ, 2019, FRONT NEUROSCI-SWITZ, V13, DOI 10.3389/fnins.2019.00586; Theis S., 2017, OPEN FORUM INFECT DI, V4, pS30, DOI [10.1093/ofid/ofx162.073, DOI 10.1093/OFID/OFX162.073]; Thygesen K, 2019, EUR HEART J, V40, P237, DOI [10.1093/eurheartj/ehy462, 10.1016/j.rec.2018.11.011, 10.1016/j.jacc.2018.08.1038]; Vaity C, 2015, CRIT CARE, V19, DOI 10.1186/s13054-015-0804-1; Walter EJ, 2016, CRIT CARE, V20, DOI 10.1186/s13054-016-1375-5; Walter EJ, 2016, CRIT CARE, V20, DOI 10.1186/s13054-016-1376-4; Xu Jiaquan, 2016, NCHS Data Brief, P1; Zoltan R., 2019, TEMPERATURE AUSTIN, V6, P101, DOI [10.1080/23328940.2018.1516100, DOI 10.1080/23328940.2018.1516100]</t>
  </si>
  <si>
    <t>UNIV MANIZALEZ, FAC MEDICINA</t>
  </si>
  <si>
    <t>MANIZALEZ</t>
  </si>
  <si>
    <t>CARRERA NO 9 NO 19-03 OFIC 146, MANIZALEZ, 00000, COLOMBIA</t>
  </si>
  <si>
    <t>1657-320X</t>
  </si>
  <si>
    <t>2339-3874</t>
  </si>
  <si>
    <t>ARCH MED</t>
  </si>
  <si>
    <t>Arch. Med.</t>
  </si>
  <si>
    <t>10.30554/arch-med.22.2.4546.2022</t>
  </si>
  <si>
    <t>G0BT3</t>
  </si>
  <si>
    <t>WOS:000985914700003</t>
  </si>
  <si>
    <t>Cardenas, OE; Vega-Rodriguez, S; Cardenas-Chaparro, A; De Leon-Rodriguez, A; de Loera, D</t>
  </si>
  <si>
    <t>Eliecer Cardenas, Oswaldo; Vega-Rodriguez, Sarai; Cardenas-Chaparro, Agobardo; De Leon-Rodriguez, Antonio; Loera, Denisse de</t>
  </si>
  <si>
    <t>Effect of Solar and Artificial Radiation on Elaidinization and Degradation of Z-Bixin Extracted from Bixa Orellana Seeds</t>
  </si>
  <si>
    <t>beta-carotene; Bixin; Elaidinization; Oxidation; Total degradation</t>
  </si>
  <si>
    <t>ANNATTO; MODEL; STABILITY; PRODUCTS; KINETICS</t>
  </si>
  <si>
    <t>Z-bixin is the main metabolite contained in Achiote, which is widely used as a food condiment and pigment. Z-bixin plays an important role in photosynthesis. It is used to develop artificial solar cells and scavenge radical oxygen and nitrogen species. In this work, the photochemistry of Z-bixin with solar irradiation and lamps at 365 and 410 nm was determined in solution. The ultraviolet-visible spectroscopy (UV-Vis) and Ultra High Performance Liquid Chromatography (UHPLC) analysis showed that elaidinization of Z-bixin to E-bixin can be reached under radiation. This is in accordance with the computational evaluation that indicates that the mechanism consists of three bond rotations with an energy requirement of 5.43 and 5.23 kcal/mol for the first and second steps and no energy barriers to the last step. After elaidinization, total degradation was observed through a cascade reaction that generated CO, CO2, H2CO, and HCl.</t>
  </si>
  <si>
    <t>[Eliecer Cardenas, Oswaldo; Vega-Rodriguez, Sarai; Loera, Denisse de] Univ Autonoma San Luis Potosi, Fac Ciencias Quim, Av Dr. Manuel Nava 6 Zona Univ, Mexico City 78210, DF, Mexico; [Cardenas-Chaparro, Agobardo] Univ Pedagog &amp; Tecnol Colombia, Escuela Ciencias Quim, Avenida Cent Norte, Bogota, Colombia; [De Leon-Rodriguez, Antonio] Inst Potosino Invest Cientif &amp; Tecnol AC, Camino Presa San Jose 2055 Col Lomas 4 Sec, Mexico City 78216, DF, Mexico</t>
  </si>
  <si>
    <t>Universidad Autonoma de San Luis Potosi; Universidad Pedagogica y Tecnologica de Colombia (UPTC)</t>
  </si>
  <si>
    <t>de Loera, D (corresponding author), Univ Autonoma San Luis Potosi, Fac Ciencias Quim, Av Dr. Manuel Nava 6 Zona Univ, Mexico City 78210, DF, Mexico.;De Leon-Rodriguez, A (corresponding author), Inst Potosino Invest Cientif &amp; Tecnol AC, Camino Presa San Jose 2055 Col Lomas 4 Sec, Mexico City 78216, DF, Mexico.</t>
  </si>
  <si>
    <t>aleonr@ipicyt.edu.mx; atenea.deloera@uaslp.mx</t>
  </si>
  <si>
    <t>De Leon Rodriguez, Antonio/0000-0003-3347-3499; Vega Rodriguez, Sarai/0000-0002-9434-9515</t>
  </si>
  <si>
    <t>CONACyT [945756]</t>
  </si>
  <si>
    <t>CONACyT(Consejo Nacional de Ciencia y Tecnologia (CONACyT))</t>
  </si>
  <si>
    <t>The authors thank M.S. Gerardo Cedillo Valverde, from Instituto de Investigaciones en Materiales-UNAM, for the NMR analysis. M.S. O. E. Cardenas thanks CONACyT for the Ph.D. Scholarship number 945756.</t>
  </si>
  <si>
    <t>Barbosa MIMJ, 2005, FOOD RES INT, V38, P989, DOI 10.1016/j.foodres.2005.02.018; Becke A. D., 1993, Journal of Chemical Physics, V98, P5648, DOI 10.1063/1.464913; Bolognesi VJ, 2018, HANDB FOOD BIOENG, V17, P355, DOI 10.1016/B978-0-12-811446-9.00012-5; Carvalho I.C., 2020, OPTIK STUTTG, V218; de Oliveira RG, 2019, FOOD CHEM TOXICOL, V125, P549, DOI 10.1016/j.fct.2019.02.013; de Sousa AR, 2016, INT J POLYM SCI, V2016, DOI 10.1155/2016/4346516; Lobato KBD, 2015, LWT-FOOD SCI TECHNOL, V60, P8, DOI 10.1016/j.lwt.2014.09.044; Frisch M.J, 2009, GAUSSIAN 09 REV C01; FRISCH MJ, 1984, J CHEM PHYS, V80, P3265, DOI 10.1063/1.447079; Galindo-Cuspinera V, 2005, J AGR FOOD CHEM, V53, P2524, DOI 10.1021/jf048056q; Garcia M, 2011, FORSCH KOMPLEMENTMED, V18, P351, DOI 10.1159/000335280; Gasparin AT, 2021, BRAIN RES, V1767, DOI 10.1016/j.brainres.2021.147557; Gomez-Ortiz NM, 2010, SOL ENERG MAT SOL C, V94, P40, DOI 10.1016/j.solmat.2009.05.013; Konovalova TA, 1997, J PHYS CHEM B, V101, P7858, DOI 10.1021/jp9708761; Lorand T, 2002, J BIOCHEM BIOPH METH, V53, P251, DOI 10.1016/S0165-022X(02)00113-6; Mercadante A. Zerlotti, 2001, ACS S SERIES, V775, P92; Montenegro MA, 2004, J AGR FOOD CHEM, V52, P367, DOI 10.1021/jf0349026; Moreira PR, 2014, BIOL RES, V47, DOI 10.1186/0717-6287-47-49; PENG CY, 1993, ISR J CHEM, V33, P449; Quiroz JQ, 2019, ANTIOXIDANTS-BASEL, V8, DOI 10.3390/antiox8020037; Raddatz-Mota D, 2017, J FOOD SCI TECH MYS, V54, P1729, DOI 10.1007/s13197-017-2579-7; Rahmalia W, 2015, PROCEDIA CHEM, V14, P455, DOI 10.1016/j.proche.2015.03.061; Rehbein J, 2007, J SEP SCI, V30, P2382, DOI 10.1002/jssc.200700089; Rios AD, 2005, J AGR FOOD CHEM, V53, P2307, DOI 10.1021/jf0481655; Rios ADO, 2007, DYES PIGMENTS, V74, P561, DOI 10.1016/j.dyepig.2006.03.018; Scotter M, 2009, FOOD ADDIT CONTAM A, V26, P1123, DOI 10.1080/02652030902942873; Scotter MJ, 2001, FOOD CHEM, V74, P365, DOI 10.1016/S0308-8146(01)00135-2; STRATTON SP, 1993, CHEM RES TOXICOL, V6, P542, DOI 10.1021/tx00034a024; Tay-Agbozo SS, 2015, J PHYS CHEM B, V119, P7170, DOI 10.1021/jp506806n; Xue L, 2018, TOXICOL RES-UK, V7, P258, DOI 10.1039/c7tx00304h; Yusa-Marco D.J., 2008, ARCHE, P153; Zechmeister L, 1944, J AM CHEM SOC, V66, P322, DOI 10.1021/ja01231a002</t>
  </si>
  <si>
    <t>JUL 21</t>
  </si>
  <si>
    <t>e202201336</t>
  </si>
  <si>
    <t>10.1002/slct.202201336</t>
  </si>
  <si>
    <t>3B0AE</t>
  </si>
  <si>
    <t>WOS:000827612000001</t>
  </si>
  <si>
    <t>Maglianesi, MA; Maruyama, PK; Temeles, EJ; Schleuning, M; Zanata, TB; Sazima, M; Gutierrez-Zamora, A; Marin-Gomez, OH; Rosero-Lasprilla, L; Ramirez-Burbano, MB; Ruffini, AE; Salamanca-Reyes, JR; Sazima, I; Nunez-Rosas, LE; Arizmendi, MD; Rahbek, C; Dalsgaard, B</t>
  </si>
  <si>
    <t>Maglianesi, Maria A.; Maruyama, Pietro K.; Temeles, Ethan J.; Schleuning, Matthias; Zanata, Thais B.; Sazima, Marlies; Gutierrez-Zamora, Aquiles; Marin-Gomez, Oscar H.; Rosero-Lasprilla, Liliana; Ramirez-Burbano, Monica B.; Ruffini, Alejandra E.; Salamanca-Reyes, J. Ricardo; Sazima, Ivan; Nunez-Rosas, Laura E.; del Coro Arizmendi, Maria; Rahbek, Carsten; Dalsgaard, Bo</t>
  </si>
  <si>
    <t>Behavioural and morphological traits influence sex-specific floral resource use by hummingbirds</t>
  </si>
  <si>
    <t>JOURNAL OF ANIMAL ECOLOGY</t>
  </si>
  <si>
    <t>behaviour; hummingbirds; morphological traits; niche breadth; niche overlap; pollen loads; resource similarity; sex differences</t>
  </si>
  <si>
    <t>DIMORPHISM; POLLINATION; EVOLUTION; NETWORKS; SPECIALIZATION; ECOLOGY; ORGANIZATION; TROCHILIDAE; ADAPTATION; PLANTS</t>
  </si>
  <si>
    <t>Research on resource partitioning in plant-pollinator mutualistic systems is mainly concentrated at the levels of species and communities, whereas differences between males and females are typically ignored. Nevertheless, pollinators often show large sexual differences in behaviour and morphology, which may lead to sex-specific patterns of resource use with the potential to differentially affect plant reproduction and diversification. We investigated variation in behavioural and morphological traits between sexes of hummingbird species as potential mechanisms underlying sex-specific flower resource use in ecological communities. To do so, we compiled a dataset of plant-hummingbird interactions based on pollen loads for 31 hummingbird species from 13 localities across the Americas, complemented by data on territorial behaviour (territorial or non-territorial) and morphological traits (bill length, bill curvature, wing length and body mass). We assessed the extent of intersexual differences in niche breadth and niche overlap in floral resource use across hummingbird species. Then, we tested whether floral niche breadth and overlap between sexes are associated with sexual dimorphism in behavioural or morphological traits of hummingbird species while accounting for evolutionary relatedness among the species. We found striking differences in patterns of floral resource use between sex. Females had a broader floral niche breadth and were more dissimilar in the plant species visited with respect to males of the same species, resulting in a high level of resource partitioning between sexes. We found that both territoriality and morphological traits were related to sex-specific resource use by hummingbird species. Notably, niche overlap between sexes was greater for territorial than non-territorial species, and moreover, niche overlap was negatively associated with sexual dimorphism in bill curvature across hummingbird species. These results reveal the importance of behavioural and morphological traits of hummingbird species in sex-specific resource use and that resource partitioning by sex is likely to be an important mechanism to reduce intersexual competition in hummingbirds. These findings highlight the need for better understanding the putative role of intersexual variation in shaping patterns of interactions and plant reproduction in ecological communities.</t>
  </si>
  <si>
    <t>[Maglianesi, Maria A.] Univ Estatal Distancia, Vicerrectoria Invest, San Jose, Costa Rica; [Maruyama, Pietro K.] Univ Fed Minas Gerais Belo Horizonte, Dept Genet Ecol &amp; Evolucao, ICB, Belo Horizonte, MG, Brazil; [Temeles, Ethan J.] Amherst Coll, Dept Biol, Amherst, MA 01002 USA; [Schleuning, Matthias] Senckenberg Biodivers &amp; Climate Res Ctr SBiK F, Frankfurt Main, Germany; [Zanata, Thais B.] Univ Fed Mato Grosso, Inst Biociencias, Dept Bot &amp; Ecol, Cuiaba, Brazil; [Sazima, Marlies] Univ Estadual Campinas, Inst Biol, Dept Biol Vegetal, Campinas, Brazil; [Gutierrez-Zamora, Aquiles] Univ Narino, Dept Biol, Pasto, Colombia; [Marin-Gomez, Oscar H.] Univ Quindio, Grp Invest &amp; Asesoria Estadist, Armenia, Colombia; [Marin-Gomez, Oscar H.; Rahbek, Carsten] Univ Quindio, Grp Invest &amp; Asesoria Estadist, Programa Biol, Armenia, Colombia; [Rosero-Lasprilla, Liliana] Univ Pedag &amp; Tecnol Colombia, Grp Invest Biol Conservac, Tunja, Colombia; [Ramirez-Burbano, Monica B.] Univ Valle, Fac Ciencias Nat, Dept Biol, Grp Ecol &amp; Diversidad Vegetal, Cali, Colombia; [Ruffini, Alejandra E.] Univ Nacl Comahue, Ctr Reg Univ Bariloche, San Carlos De Bariloche, Rio Negro, Argentina; [Salamanca-Reyes, J. Ricardo] Univ Pedag &amp; Tecnol Colombia, Escuela Biol, Tunja, Colombia; [Sazima, Ivan] Univ Estadual Campinas, Inst Biol, Museu Biodiversidade Biol, Campinas, Brazil; [Nunez-Rosas, Laura E.; del Coro Arizmendi, Maria] Univ Nacl Autonoma Mexico, Fac Estudios Super Iztacala, Tlalnepantla, Estado De Mexic, Mexico; [Rahbek, Carsten; Dalsgaard, Bo] Univ Copenhagen, Ctr Macroecol Evolut &amp; Climate, GLOBE Inst, Copenhagen O, Denmark; [Rahbek, Carsten] Peking Univ, Inst Ecol, Beijing, Peoples R China; [Rahbek, Carsten] Univ Southern Denmark, Danish Inst Adv Study, Odense, Denmark; [Dalsgaard, Bo] Univ Copenhagen, GLOBE Inst, Sect Mol Ecol &amp; Evolut, Copenhagen, Denmark</t>
  </si>
  <si>
    <t>Universidad Estatal a Distancia (UNED); Amherst College; Senckenberg Biodiversitat &amp; Klima- Forschungszentrum (BiK-F); Senckenberg Gesellschaft fur Naturforschung (SGN); Universidade Federal de Mato Grosso; Universidade de Sao Paulo; Universidade Estadual de Campinas; Universidad del Quindio; Universidad del Quindio; Universidad Pedagogica y Tecnologica de Colombia (UPTC); Universidad del Valle; Universidad Nacional del Comahue; Universidad Pedagogica y Tecnologica de Colombia (UPTC); Universidade de Sao Paulo; Universidade Estadual de Campinas; Universidad Nacional Autonoma de Mexico; University of Copenhagen; Peking University; University of Southern Denmark; University of Copenhagen</t>
  </si>
  <si>
    <t>Maglianesi, MA (corresponding author), Univ Estatal Distancia, Vicerrectoria Invest, San Jose, Costa Rica.</t>
  </si>
  <si>
    <t>mmaglianesi@uned.ac.cr</t>
  </si>
  <si>
    <t>Gómez, Oscar H. Marín/I-9667-2019; Maruyama, Pietro Kiyoshi/I-9561-2016; Schleuning, Matthias/H-2154-2015; Dalsgaard, Bo/A-2224-2009; Rosero, Liliana/B-8304-2019; Rahbek, Carsten/GVQ-0752-2022</t>
  </si>
  <si>
    <t>Gómez, Oscar H. Marín/0000-0002-0743-8350; Maruyama, Pietro Kiyoshi/0000-0001-5492-2324; Schleuning, Matthias/0000-0001-9426-045X; Rosero, Liliana/0000-0002-0163-9231; Rahbek, Carsten/0000-0003-4585-0300; Nunez Rosas, Laura Edith/0000-0001-7705-8110; Ramirez-Burbano, Monica B./0000-0002-3810-8119</t>
  </si>
  <si>
    <t>Consejo Nacional para Investigaciones Cientificas y Tecnologicas; Conselho Nacional de Desenvolvimento Cientifico e Tecnologico [302781/2016-1, 300992/79-ZO]; Coordenacao de Aperfeicoamento de Pessoal de Nivel Superior [8105/2014-6]; Direccion General de Asuntos del Personal Academico, Universidad Nacional Autonoma de Mexico [PAPIIT IN221920]; Fundacao Amazonia Paraense de Amparo a Pesquisa [2015/21457-4]; Hessisches Ministerium fur Wissenschaft und Kunst; Ministerio de Ciencia, Tecnologia y Telecomunicaciones</t>
  </si>
  <si>
    <t>Consejo Nacional para Investigaciones Cientificas y Tecnologicas; Conselho Nacional de Desenvolvimento Cientifico e Tecnologico(Conselho Nacional de Desenvolvimento Cientifico e Tecnologico (CNPQ)); Coordenacao de Aperfeicoamento de Pessoal de Nivel Superior(Coordenacao de Aperfeicoamento de Pessoal de Nivel Superior (CAPES)); Direccion General de Asuntos del Personal Academico, Universidad Nacional Autonoma de Mexico(Universidad Nacional Autonoma de Mexico); Fundacao Amazonia Paraense de Amparo a Pesquisa(Fundacao Amazonia de Amparo a Estudos e Pesquisas (FAPESPA)); Hessisches Ministerium fur Wissenschaft und Kunst; Ministerio de Ciencia, Tecnologia y Telecomunicaciones</t>
  </si>
  <si>
    <t>Consejo Nacional para Investigaciones Cientificas y Tecnologicas; Conselho Nacional de Desenvolvimento Cientifico e Tecnologico, Grant/Award Number: 302781/2016-1 and 300992/79-ZO; Coordenacao de Aperfeicoamento de Pessoal de Nivel Superior, Grant/Award Number: 8105/2014-6; Direccion General de Asuntos del Personal Academico, Universidad Nacional Autonoma de Mexico, Grant/Award Number: PAPIIT IN221920; Fundacao Amazonia Paraense de Amparo a Pesquisa, Grant/Award Number: 2015/21457-4; Hessisches Ministerium fur Wissenschaft und Kunst; Ministerio de Ciencia, Tecnologia y Telecomunicaciones</t>
  </si>
  <si>
    <t>Maglianesi MA, 2014, ECOLOGY, V95, P3325, DOI 10.1890/13-2261.1; Andersson Malte, 1994; BEATTIE AJ, 1971, PAN-PAC ENTOMOL, V47, P82; Bleiweiss R, 1998, MOL BIOL EVOL, V15, P481, DOI 10.1093/oxfordjournals.molbev.a025947; Bleiweiss R, 1999, P ROY SOC B-BIOL SCI, V266, P2491, DOI 10.1098/rspb.1999.0951; Bolnick DI, 2003, AM NAT, V161, P1, DOI 10.1086/343878; Borgella R, 2001, BIOTROPICA, V33, P90, DOI 10.1111/j.1744-7429.2001.tb00160.x; Bosch J, 2009, ECOL LETT, V12, P409, DOI 10.1111/j.1461-0248.2009.01296.x; Buzato S, 2000, BIOTROPICA, V32, P824, DOI 10.1111/j.1744-7429.2000.tb00621.x; Carpenter F.L., 1991, P1156; CARPENTER FL, 1993, BEHAV ECOL SOCIOBIOL, V33, P305; Carscadden KA, 2020, Q REV BIOL, V95, P179, DOI 10.1086/710388; Chao A, 2006, BIOMETRICS, V62, P361, DOI 10.1111/j.1541-0420.2005.00489.x; Chesson P, 2000, ANNU REV ECOL SYST, V31, P343, DOI 10.1146/annurev.ecolsys.31.1.343; COURTNEY SP, 1982, OIKOS, V38, P260, DOI 10.2307/3544030; Dalsgaard B, 2021, FUNCT ECOL, V35, P1120, DOI 10.1111/1365-2435.13784; Dalsgaard B, 2009, OECOLOGIA, V159, P757, DOI 10.1007/s00442-008-1255-z; FEINSINGER P, 1976, ECOL MONOGR, V46, P257, DOI 10.2307/1942255; Justino DG, 2012, J ORNITHOL, V153, P189, DOI 10.1007/s10336-011-0726-x; Kearns C.A, 1993, TECHNIQUES POLLINATI; Larsson M, 2005, OECOLOGIA, V146, P394, DOI 10.1007/s00442-005-0217-y; Leimberger KG, 2022, BIOL REV, V97, P923, DOI 10.1111/brv.12828; LINHART YB, 1987, EVOLUTION, V41, P679, DOI 10.1111/j.1558-5646.1987.tb05841.x; LOVICH JE, 1992, GROWTH DEVELOP AGING, V56, P269; Ludecke, 2020, PACKAGEPERFORMANCE; Maglianesi MA, 2015, ECOGRAPHY, V38, P1119, DOI 10.1111/ecog.01538; Maruyama PK, 2016, PLANT BIOLOGY, V18, P913, DOI 10.1111/plb.12492; McGuire JA, 2014, CURR BIOL, V24, P910, DOI 10.1016/j.cub.2014.03.016; Morisita Masaaki, 1959, MEM FS KYUSHU U    E, V3, P65, DOI DOI 10.18960/SEITAI.11.6_252_4; Ne'eman G, 2006, J INSECT BEHAV, V19, P383, DOI 10.1007/s10905-006-9030-7; NOSKE RA, 1986, AUST J ECOL, V11, P255, DOI 10.1111/j.1442-9993.1986.tb01396.x; Ollerton J, 2011, OIKOS, V120, P321, DOI 10.1111/j.1600-0706.2010.18644.x; Orme D., 2018, CAPER COMP ANALYSES; Ornelas J. F., 1995, THESIS; ORTIZCRESPO FI, 1972, AUK, V89, P851; Ramirez-Burbano MB, 2017, BIOTROPICA, V49, P555, DOI 10.1111/btp.12442; Rech AR, 2016, PLANT ECOL DIVERS, V9, P253, DOI 10.1080/17550874.2016.1207722; Revell LJ, 2012, METHODS ECOL EVOL, V3, P217, DOI 10.1111/j.2041-210X.2011.00169.x; Rico-Guevara A, 2015, BEHAV ECOL, V26, P21, DOI 10.1093/beheco/aru182; Ritchie AD, 2016, ENVIRON ENTOMOL, V45, P909, DOI 10.1093/ee/nvw032; Rodger JG, 2021, SCI ADV, V7, DOI 10.1126/sciadv.abd3524; Rodrigues RC, 2019, ECOLOGY, V100, DOI 10.1002/ecy.2647; Rodriguez-Flores CI, 2016, J ZOOL, V299, P262, DOI 10.1111/jzo.12360; Rombaut LMK, 2022, P ROY SOC B-BIOL SCI, V289, DOI 10.1098/rspb.2021.2484; Roswell M, 2019, PLOS ONE, V14, DOI 10.1371/journal.pone.0214909; Roubik D. W., 1991, POLLEN SPORES BARRO; SAZIMA I, 1995, J ORNITHOL, V136, P195, DOI 10.1007/BF01651241; Schuchmann KL, 1999, HDB BIRDS WORLD, V5, P468; SELANDER RK, 1966, CONDOR, V68, P113, DOI 10.2307/1365712; SHINE R, 1989, Q REV BIOL, V64, P419, DOI 10.1086/416458; Smith GP, 2022, INSECT SCI, V29, P304, DOI 10.1111/1744-7917.12926; Smith GP, 2019, J ANIM ECOL, V88, P971, DOI 10.1111/1365-2656.12988; Souza CS, 2021, NEW PHYTOL, V230, P2501, DOI 10.1111/nph.17334; Stiles F.G., 2020, HDB BIRDS WORLD ALIV, DOI 10.2173/bow.empbri1.01; Stiles FG, 2004, ORNITOL NEOTROP, V15, P191; Stiles FG, 1996, WILSON BULL, V108, P1; STILES FG, 1975, ECOLOGY, V56, P285, DOI 10.2307/1934961; Temeles EJ, 2013, J EVOLUTION BIOL, V26, P347, DOI 10.1111/jeb.12053; Temeles EJ, 2000, SCIENCE, V289, P441, DOI 10.1126/science.289.5478.441; Temeles EJ, 2003, SCIENCE, V300, P630, DOI 10.1126/science.1080003; Temeles EJ, 2019, EVOL ECOL, V33, P481, DOI 10.1007/s10682-019-09992-1; Temeles EJ, 2016, PLOS ONE, V11, DOI 10.1371/journal.pone.0146431; Temeles EJ, 2010, PHILOS T R SOC B, V365, P1053, DOI 10.1098/rstb.2009.0284; WOLF LL, 1976, J ANIM ECOL, V45, P349, DOI 10.2307/3879; Zhang J., 2016, SPAA SPECIES ASS ANA</t>
  </si>
  <si>
    <t>0021-8790</t>
  </si>
  <si>
    <t>1365-2656</t>
  </si>
  <si>
    <t>J ANIM ECOL</t>
  </si>
  <si>
    <t>J. Anim. Ecol.</t>
  </si>
  <si>
    <t>10.1111/1365-2656.13746</t>
  </si>
  <si>
    <t>Ecology; Zoology</t>
  </si>
  <si>
    <t>Environmental Sciences &amp; Ecology; Zoology</t>
  </si>
  <si>
    <t>6I5KN</t>
  </si>
  <si>
    <t>WOS:000802077100001</t>
  </si>
  <si>
    <t>Ferro, D; Gil, J; Jimenez, A; Manrique, C; Martinez, CA</t>
  </si>
  <si>
    <t>Ferro, Daniela; Gil, Jhon; Jimenez, Ariel; Manrique, Carlos; Martinez, Carlos A.</t>
  </si>
  <si>
    <t>Estimation of lactation curves of Gyr cattle and some associated production parameters in the Colombian low tropic</t>
  </si>
  <si>
    <t>REVISTA COLOMBIANA DE CIENCIAS PECUARIAS</t>
  </si>
  <si>
    <t>Bos indicus; bovines; cattle; cows; lactation; lactation function shape; lactation parameters; linear models; milk production; milk yield; model comparison; nonlinear models; statistical modelling; tropical dairy operations</t>
  </si>
  <si>
    <t>FRIESIAN COWS; PERSISTENCY; MODEL</t>
  </si>
  <si>
    <t>Background: The Gyr breed is widely used in Colombian low tropic dairy production systems. During the last 10 years, the Asociacion Colombians de Criadores de Ganado Cebu dagger - ASOCEBU, has been leading a dairy milk control program which led to the creation of a dataset that permits to carry out the first analysis of milk yield in Gyr cattle in the country using records from several herds. Objectives: To study milk production dynamics of Gyr cattle in the Colombian low tropic through the estimation of lactation curves and four derived production parameters: total milk yield between 5 and 305 days (TMY305), peak milk yield (PMY), days at peak (DP) and persistency (P). Methods: 13,798 daily milk yield records from 1,510 cows performing in 103 herds were used; the total number of lactations was 2,480. Four models were considered: Wood, Wiltmink, Papajcsik &amp; Bordero, and a second-degree polynomial. Mean square error, mean absolute error, mean square error of prediction, Akaike and Bayesian information criteria were used to select the model better describing each lactation using the majority rule, that is, the model selected by most criteria was the chosen one. The shape of each fitted lactation curve was checked using basic results from calculus which permitted the classification of the estimated curves into two groups: typical and atypical; only typical functions were used to compute the four aforementioned production parameters. Results: The second-order polynomial was the model most frequently selected, while the Papajcsik &amp; Bordero model had the lowest frequency. Average TMY305, PMY, DP and P were 3,489.86 kg, 17.28 kg, 57.17 days, and 0.83, respectively, with coefficients of variation: 0.27, 0.21, 0.41, and 0.16. Conclusions: This study permitted to identify individuals with outstanding phenotypic performance. To the best of our knowledge, this is the first study of this kind involving thousands of lactations from Gyr cows performing in several regions of Colombian low tropic.</t>
  </si>
  <si>
    <t>[Ferro, Daniela; Gil, Jhon] Univ Pedagog &amp; Tecnol Colombia, Fac Secc Duitama, Escuela Matemat &amp; Estadist, Bogota, Colombia; [Jimenez, Ariel] Asociac Colombiana Criadores Ganado Cebu ASOCEBU, Bogota, Colombia; [Manrique, Carlos] Univ Nacl Colombia, Dept Prod Anim, Bogota, Colombia; [Martinez, Carlos A.] Corp Colombiana Invest Agr AGROSAVIA, Direcc Invest &amp; Desarrollo, Sede Cent, Mosquera, Colombia</t>
  </si>
  <si>
    <t>Universidad Pedagogica y Tecnologica de Colombia (UPTC); Universidad Nacional de Colombia; Corporacion Colombiana de Investigacion Agropecuaria, AGROSAVIA</t>
  </si>
  <si>
    <t>Martinez, CA (corresponding author), Km 14 via Mosquera, Cundinamarca, Colombia.</t>
  </si>
  <si>
    <t>cmartinez@agroavia.co</t>
  </si>
  <si>
    <t>Martinez, Carlos Alberto/0000-0003-2842-5580</t>
  </si>
  <si>
    <t>Asociacion Colombiana de Criadores de Ganado Cebu - ASOCEBU</t>
  </si>
  <si>
    <t>This study was partially funded by Asociacion Colombiana de Criadores de Ganado Cebu - ASOCEBU.</t>
  </si>
  <si>
    <t>AKAIKE H, 1974, IEEE T AUTOMAT CONTR, VAC19, P716, DOI 10.1109/TAC.1974.1100705; Analla M, 1998, AGR SYST, V57, P115, DOI 10.1016/S0308-521X(97)00073-5; ASOCEBU, RAZ GYR ESP LECH; Brody S, 1924, J GEN PHYSIOL, V6, P541, DOI 10.1085/jgp.6.5.541; Butler Farms, GYR CATTL; Canas J, 2012, REV MVZ CORDOBA, V17, P2998, DOI 10.21897/rmvz.234; Cuellar MA, 2002, EVALUACION LECHERA R; de Souza R, 2014, REV BRAS ZOOTECN, V43, P73, DOI 10.1590/S1516-35982014000200004; Faraway J. J., 2005, LINEAR MODELS R; Ferreira AGT, 2015, AN ACAD BRAS CIENC, V87, P503, DOI 10.1590/0001-3765201520130514; Guler O, 2009, J APPL ANIM RES, V35, P39; JOHANSSON I., 1940, Kungliga Lantbruksakademiens Handlingar, V79; Lopez S, 2015, J DAIRY SCI, V98, P2701, DOI 10.3168/jds.2014-8132; Macciotta NPP, 2011, ITAL J ANIM SCI, V10, DOI 10.4081/ijas.2011.e51; Mellado M., 2011, TROP SUBTROP AGROECO, V14, P927; Ossa G, 1997, REV CORPOICA JULY, V2, P54, DOI [10.21930/rcta.vol2_num1_art:163, DOI 10.21930/RCTA.VOL2_NUM1_ART:163]; PAPAJCSIK IA, 1988, ANIM PROD, V47, P201, DOI 10.1017/S0003356100003275; Pereira RJ, 2012, GENET MOL RES, V11, P1599, DOI 10.4238/2012.June.15.9; Quiroz J, 2015, ACTAS IBEROAMERICANA, V6, P294; Rawlings J.O., 1998, APPL REGRESSION ANAL; Rivera J., 1997, PRODUCCION BOVINA LE; Tedeschi L., 2004, WORKSH MATH MOD AN E; Western Canadian Dairy Herd Improvement Services, DHI LACT CURV W DIAR; WILMINK JBM, 1987, LIVEST PROD SCI, V17, P1, DOI 10.1016/0301-6226(87)90049-2; WOOD PDP, 1967, NATURE, V216, P164, DOI 10.1038/216164a0</t>
  </si>
  <si>
    <t>UNIV ANTIOQUIA, FAC CIENCIAS AGRARIAS</t>
  </si>
  <si>
    <t>CIUDADELA ROBLEDO, CARRERA 75 NO 65-87 OF 6-225, APARTADO AEREO 1226, MEDELLIN, 00000, COLOMBIA</t>
  </si>
  <si>
    <t>0120-0690</t>
  </si>
  <si>
    <t>2256-2958</t>
  </si>
  <si>
    <t>REV COLOMB CIENC PEC</t>
  </si>
  <si>
    <t>Rev. Colomb Cienc. Pecu.</t>
  </si>
  <si>
    <t>10.17533/udea.rccp.v35n1a01</t>
  </si>
  <si>
    <t>2P6KU</t>
  </si>
  <si>
    <t>WOS:000819848200001</t>
  </si>
  <si>
    <t>Caycho-Rodriguez, T; Vilca, LW; Cervigni, M; Gallegos, M; Martino, P; Calandra, M; Anacona, CAR; Lopez-Calle, C; Moreta-Herrera, R; Chacon-Andrade, ER; Lobos-Rivera, ME; Del Carpio, P; Quintero, Y; Robles, E; Lombardo, MP; Recalde, OG; Figares, AB; White, M; Burgos-Videla, C</t>
  </si>
  <si>
    <t>Caycho-Rodriguez, Tomas; Vilca, Lindsey W.; Cervigni, Mauricio; Gallegos, Miguel; Martino, Pablo; Calandra, Manuel; Rey Anacona, Cesar Armando; Lopez-Calle, Claudio; Moreta-Herrera, Rodrigo; Rene Chacon-Andrade, Edgardo; Elias Lobos-Rivera, Marlon; Del Carpio, Perla; Quintero, Yazmin; Robles, Erika; Panza Lombardo, Macerlo; Gamarra Recalde, Olivia; Buschiazzo Figares, Andres; White, Michael; Burgos-Videla, Carmen</t>
  </si>
  <si>
    <t>Cross-national measurement invariance of the Purpose in Life Test in seven Latin American countries</t>
  </si>
  <si>
    <t>FRONTIERS IN PSYCHOLOGY</t>
  </si>
  <si>
    <t>measurement invariance; cross-cultural; purpose in life; Latin American; Analysis Alignment</t>
  </si>
  <si>
    <t>IN-LIFE; PSYCHOMETRIC PROPERTIES; FACTORIAL STRUCTURE; INTERNAL CONSISTENCY; VALIDATION; WELL; BIFACTOR; SUPPORT; VERSION; SENSITIVITY</t>
  </si>
  <si>
    <t>The Purpose in Life Test (PIL) is a measure of purpose in life widely used in many cultures and countries; however, cross-cultural assessments are scarce. The present study aimed to evaluate the cross-cultural measurement invariance of the PIL in the general population of seven Latin American countries (Colombia, Ecuador, El Salvador, Mexico, Paraguay, Argentina, and Uruguay). A total of 4306 people participated, selected by non-probabilistic convenience sampling, where Uruguay has the highest mean age (M = 41.8; SD = 16.6 years); while Ecuador has the lowest mean age (M = 24.6; SD = 7.8 years). Furthermore, in each country, there is a higher proportion of women (&gt;60%) than men (&lt;40%). Using Multi-Group Confirmatory Factor Analysis, the factorial structure does not show evidence of invariance among the included countries. However, based on the Multi-Group Factor Analysis Alignment, there is evidence that a three-dimensional structure of the PIL (Meaning of existence, Freedom to make meaning in daily life and Will to find meaning in the face of future challenges) is the same in the participating countries. Results based on item response theory indicate that most PIL items can significantly differentiate responses according to the level of life purpose. In addition, people with low life purpose will tend to choose the lower response alternatives on the PIL; while people with higher life purpose will choose higher response alternatives. The findings indicate that the PIL has the potential to increase knowledge about how people conceive and experience their purpose in life in different countries.</t>
  </si>
  <si>
    <t>[Caycho-Rodriguez, Tomas] Univ Privada Norte, Fac Ciencias Salud, Lima, Peru; [Vilca, Lindsey W.] Univ Norbert Wiener, South Amer Ctr Educ &amp; Res Publ Hlth, Lima, Peru; [Cervigni, Mauricio; Martino, Pablo; Calandra, Manuel] Univ Nacl Rosario, Fac Psicol, Rosario, Argentina; [Cervigni, Mauricio; Martino, Pablo; Calandra, Manuel] Univ Nacl Rosario, Fac Psicol, Ctr Invest Neurociencias Rosario, Rosario, Argentina; [Cervigni, Mauricio; Martino, Pablo; Calandra, Manuel] Univ Nacl Rosario, Fac Psicol, Lab Cognic &amp; Emoc, Rosario, Argentina; [Cervigni, Mauricio; Martino, Pablo] Consejo Nacl Invest Cient &amp; Tecn, Buenos Aires, DF, Argentina; [Gallegos, Miguel] Univ Catolica Maule, Fac Ciencias Salud, Talca, Chile; [Gallegos, Miguel] Pontificia Univ Catolica Minas Gerais, Programa Posgrad Psicol, Belo Horizonte, MG, Brazil; [Rey Anacona, Cesar Armando] Univ Pedag &amp; Tecnol Colombia, Fac Psicol, Tunja, Colombia; [Lopez-Calle, Claudio] Univ Cuenca, Fac Psicol, Cuenca, Ecuador; [Moreta-Herrera, Rodrigo] Pontificia Univ Catolica Ecuador, Escuela Psicol, Ambato, Ecuador; [Rene Chacon-Andrade, Edgardo; Elias Lobos-Rivera, Marlon] Univ Tecnol El Salvador, Fac Ciencias Sociales, Escuela Psicol, San Salvador, El Salvador; [Del Carpio, Perla; Quintero, Yazmin] Univ Guanajuato, Guanajuato, Mexico; [Robles, Erika] Univ Autonoma Estado Mexico, Fac Ciencias Comportamiento, Toluca, Mexico; [Panza Lombardo, Macerlo] Univ Nacl Este, Fac Ciencias Salud, Ciudad Del Este, Paraguay; [Gamarra Recalde, Olivia] Univ Catolica Asuncion, Fac Ciencias Salud, Asuncion, Paraguay; [Buschiazzo Figares, Andres] Ctr Estudios Adlerianos, Montevideo, Uruguay; [White, Michael] Univ Peruana Union, Fac Ciencias Humanas &amp; Educ, Lima, Peru; [Burgos-Videla, Carmen] Univ Atacama, Inst Invest Ciencias Sociales &amp; Educ, Copiapo, Chile</t>
  </si>
  <si>
    <t>Universidad Privada del Norte; Universidad Norbert Wiener; National University of Rosario; National University of Rosario; National University of Rosario; Consejo Nacional de Investigaciones Cientificas y Tecnicas (CONICET); Universidad Catolica del Maule; Pontificia Universidade Catolica de Minas Gerais; Universidad Pedagogica y Tecnologica de Colombia (UPTC); Universidad de Cuenca; Pontificia Universidad Catolica del Ecuador; Universidad de Guanajuato; Universidad Catolica Nuestra Senora de la Asuncion; Universidad Peruana Union; Universidad de Atacama</t>
  </si>
  <si>
    <t>Caycho-Rodriguez, T (corresponding author), Univ Privada Norte, Fac Ciencias Salud, Lima, Peru.</t>
  </si>
  <si>
    <t>tomas.caycho@upn.pe</t>
  </si>
  <si>
    <t>Moreta-Herrera, Rodrigo/M-5266-2018</t>
  </si>
  <si>
    <t>Moreta-Herrera, Rodrigo/0000-0003-0134-5927; del Carpio Ovando, Perla Shiomara/0000-0002-4907-783X; Caycho-Rodriguez, Tomas/0000-0002-5349-7570; Lobos Rivera, Marlon Elias/0000-0002-7995-6122; Lopez Calle, Claudio/0000-0003-0679-6954</t>
  </si>
  <si>
    <t>American Psychological Association, 2019, PUBL MAN AM PSYCH AS; Armas M., 2018, EUROPEAN J HLTH RES, V4, P43, DOI [10.30552/ejhr.v4i1.89, DOI 10.30552/EJHR.V4I1.89]; Arslan G, 2022, PSYCHOL HEALTH MED, V27, P803, DOI 10.1080/13548506.2021.1876892; Asparouhov T, 2014, STRUCT EQU MODELING, V21, P495, DOI 10.1080/10705511.2014.919210; Asparouhov T, 2009, STRUCT EQU MODELING, V16, P397, DOI 10.1080/10705510903008204; Ato M, 2013, AN PSICOL-SPAIN, V29, P1038; Barrero J.A.C., 2020, REV CIEN SOC, V26, P206; Bronk K.C., 2014, PURPOSE LIFE CRITICA, DOI [https://doi.org/10.1007/978-94-007-7491-9, DOI 10.1007/978-94-007-7491-9, 10.1007/978-94-007-7491-9]; Bronk K.C., 2020, POSITIVE PSYCHOL SCI, P64, DOI [10.4324/9780203731833-6, DOI 10.4324/9780203731833-6]; Brown TA, 2015, CONFIRMATORY FACTOR, V2; Brunelli C, 2012, SUPPORT CARE CANCER, V20, P2775, DOI 10.1007/s00520-012-1399-6; Byrne BM, 2017, PSICOTHEMA, V29, P539, DOI 10.7334/psicothema2017.178; Caycho-Rodriguez T, 2021, FRONT PSYCHOL, V12, DOI 10.3389/fpsyg.2021.763993; Caycho-Rodriguez T, 2021, OMEGA-J DEATH DYING, DOI 10.1177/00302228211048566; Caycho-Rodriguez T, 2022, DEATH STUD, V46, P2003, DOI 10.1080/07481187.2021.1879318; CHANG RH, 1984, INT J AGING HUM DEV, V18, P207, DOI 10.2190/QKGN-E1HW-CA88-X6K3; Chen FF, 2007, STRUCT EQU MODELING, V14, P464, DOI 10.1080/10705510701301834; Chen FF, 2006, MULTIVAR BEHAV RES, V41, P189, DOI 10.1207/s15327906mbr4102_5; CRUMBAUGH JC, 1964, J CLIN PSYCHOL, V20, P200, DOI 10.1002/1097-4679(196404)20:2&lt;200::AID-JCLP2270200203&gt;3.0.CO;2-U; Damon W., 2003, APPL DEV SCI, V7, P119, DOI [10.1207/S1532480XADS0703_2, DOI 10.1207/S1532480XADS0703_2, 10.1207/S1532480XADS0703%5F2]; Davidov E, 2014, ANNU REV SOCIOL, V40, P55, DOI 10.1146/annurev-soc-071913-043137; Davidov E, 2010, INT J COMP SOCIOL, V51, P171, DOI 10.1177/0020715210363534; Davidov E, 2008, EUR SOCIOL REV, V24, P583, DOI 10.1093/esr/jcn020; Davies G., 2014, ENCY QUALITY LIFE WE, P5238, DOI [10.1007/978-94-007-0753-5_23, DOI 10.1007/978-94-007-0753-5_23]; Deci EL, 2000, PSYCHOL INQ, V11, P227, DOI 10.1207/S15327965PLI1104_01; Desseilles M, 2012, J AFFECT DISORDERS, V136, P398, DOI 10.1016/j.jad.2011.11.013; DUFTON BD, 1986, J PSYCHOL THEOL, V14, P42, DOI 10.1177/009164718601400105; DYCK MJ, 1987, CLIN PSYCHOL REV, V7, P439, DOI 10.1016/0272-7358(87)90021-3; Echeverria I, 2021, INT J ENV RES PUB HE, V18, DOI 10.3390/ijerph18147235; Fabry J.B., 1988, GUIDEPOSTS MEANING D; Finney SJ, 2013, QUANT METH EDUC BEHA, P439; Fischer R, 2019, FRONT PSYCHOL, V10, DOI 10.3389/fpsyg.2019.01507; Francke M.E., 2011, SENTIDO VIDA ADULTO; Frankl V, 1963, MANS SEARCH MEANING; Frankl V.E., 1958, J PASTORAL CARE, V12, P82; FRANKL VE, 1966, J HUMANIST PSYCHOL, V6, P97, DOI 10.1177/002216786600600201; Furman H., 2021, SUBJET PROCES COGN, V25, P73; Garcia-Alandete J., 2016, LOGOTHERAPY EXISTENT, P75; Garcia-Alandete J, 2018, PSYCHIAT RES, V261, P161, DOI 10.1016/j.psychres.2017.12.052; Garcia-Alandete J, 2017, SPAN J PSYCHOL, V20, DOI 10.1017/sjp.2017.28; Garcia-Alandete J, 2013, UNIV PSYCHOL, V12, P517, DOI 10.11144/Javeriana.UPSY12-2.efci; Gottfried A., 2016, REV PSICOLOGIA, V12, P49; Guay F, 2015, J EXP EDUC, V83, P51, DOI 10.1080/00220973.2013.876231; Haugan G, 2013, J NURS MEAS, V21, P296, DOI 10.1891/1061-3749.21.2.296; Hayashi J.R.P., 2017, EUR J APPL BUS MANAG, V3, P136; Huamani J.C., 2018, REV INVEST PSICOL, V21, P51, DOI [10.15381/rinvp.v21i1.15112, DOI 10.15381/RINVP.V21I1.15112]; Humphrey A, 2021, BEHAV SCI-BASEL, V11, DOI 10.3390/bs11040050; Hutzell R.R., 1988, INT FORUM LOGOTHER, V11, P89; Jang S, 2017, J CROSS CULT PSYCHOL, V48, P560, DOI 10.1177/0022022117697844; Jonsen E, 2010, SCAND J CARING SCI, V24, P41, DOI 10.1111/j.1471-6712.2008.00682.x; Jorgensen T.D., 2018, SEMTOOLS USEFUL TOOL; Karatas Z, 2021, FRONT PSYCHOL, V12, DOI 10.3389/fpsyg.2021.633384; Kim ES, 2017, STRUCT EQU MODELING, V24, P524, DOI 10.1080/10705511.2017.1304822; Kim H.S., 2001, J KOREAN ASS SOC PSY, V6, P155; Kitayama S, 2000, COGNITION EMOTION, V14, P93, DOI 10.1080/026999300379003; Kline RB., 2011, PRINCIPLES PRACTICE, V3, P427; Konkoly Thege B., 2006, MENT L PSZICHOS, V7, P153, DOI [10.1556/mental.7.2006.3.1, DOI 10.1556/MENTAL.7.2006.3.1]; Law BMF, 2012, SCI WORLD J, DOI 10.1100/2012/685741; Lindfors P, 2006, PERS INDIV DIFFER, V40, P1213, DOI 10.1016/j.paid.2005.10.016; Lomazzi V, 2018, METHODS DATA ANAL, V12, P77, DOI 10.12758/mda.2017.09; Magana Valladares L., 2004, REV CTR INVEST U SAL, V6, P5; Mansolf M, 2017, INTELLIGENCE, V61, P120, DOI 10.1016/j.intell.2017.01.012; Marsh A, 2003, EDUC PSYCHOL MEAS, V63, P859, DOI 10.1177/0013164402251040; Marsh HW, 2018, PSYCHOL METHODS, V23, P524, DOI 10.1037/met0000113; Marsh HW, 2014, ANNU REV CLIN PSYCHO, V10, P85, DOI 10.1146/annurev-clinpsy-032813-153700; Marsh HW, 2009, STRUCT EQU MODELING, V16, P439, DOI 10.1080/10705510903008220; Martínez Ortiz Efrén, 2013, Pensam. psicol., V11, P71; Ortiz EM, 2012, REV ARGENT CLIN PSIC, V21, P85; McDonald R.P., 2013, TEST THEORY UNIFIED; McGregor I, 1998, J PERS SOC PSYCHOL, V74, P494, DOI 10.1037/0022-3514.74.2.494; Mei Z, 2021, AM J GERIAT PSYCHIAT, V29, P488, DOI 10.1016/j.jagp.2020.09.018; MOLCAR CC, 1988, J PSYCHOL, V122, P365, DOI 10.1080/00223980.1988.9915523; Moors G, 2004, EUR SOCIOL REV, V20, P303, DOI 10.1093/esr/jch026; Morgan J, 2009, J HAPPINESS STUD, V10, P197, DOI 10.1007/s10902-007-9075-0; Morin AJS, 2016, STRUCT EQU MODELING, V23, P116, DOI 10.1080/10705511.2014.961800; Muthen B., 2013, MPLUS WEB NOTES17, P1; Muthen B, 2018, SOCIOL METHOD RES, V47, P637, DOI 10.1177/0049124117701488; Nascimento R.B.T., 2019, REV AVAL PSICOL, V18; Ochoa Y.M., 2018, REV HABANERA CIENC M, V9, P156; Okado T., 1998, JAPANESE VERSION PUR; Pierce M, 2020, LANCET PSYCHIAT, V7, P567, DOI 10.1016/S2215-0366(20)30237-6; Pokropek A, 2019, STRUCT EQU MODELING, V26, P724, DOI 10.1080/10705511.2018.1561293; Ratner K, 2021, APPL DEV SCI, V25, P364, DOI 10.1080/10888691.2019.1659140; Raykov T, 2013, EDUC PSYCHOL MEAS, V73, P581, DOI 10.1177/0013164412470451; Reise SP, 2012, MULTIVAR BEHAV RES, V47, P667, DOI 10.1080/00273171.2012.715555; Risco A., 2009, THESIS U SALAMANCA S; Robitzsch A., 2020, SIRT SUPPLEMENTARY I; Romero-Ramos N., 2021, POLISH J SPORT TOUR, V28, P25, DOI [10.2478/pjst-2021-0011, DOI 10.2478/PJST-2021-0011]; Rosseel Y, 2012, J STAT SOFTW, V48, P1, DOI 10.18637/jss.v048.i02; RStudio Team, 2019, RSTUDIO INT DEV ENV; Ryff CD, 1998, PSYCHOL INQ, V9, P1, DOI 10.1207/s15327965pli0901_1; Samios C, 2022, ANXIETY STRESS COPIN, V35, P9, DOI 10.1080/10615806.2021.1974408; Schimmoeller EM, 2021, LINACRE Q, V88, P94, DOI 10.1177/0024363920948316; Schulenberg SE, 2010, J HAPPINESS STUD, V11, P95, DOI 10.1007/s10902-008-9124-3; Schumacker R. E., 2010, BEGINNERS GUIDE STRU; Sezer S., 2012, ANKARA U J FACULTY E, V45, P209, DOI [10.1501/Egifak_0000001242, DOI 10.1501/EGIFAK_0000001242]; Sharma S, 2009, INT J CROSS CULT MAN, V9, P217, DOI 10.1177/1470595809335725; SHEK DTL, 1988, J CLIN PSYCHOL, V44, P384, DOI 10.1002/1097-4679(198805)44:3&lt;384::AID-JCLP2270440312&gt;3.0.CO;2-1; Simkin H, 2018, ESTUD PSICOL-MADRID, V39, P104, DOI 10.1080/02109395.2017.1407903; Steenkamp JBEM, 1998, J CONSUM RES, V25, P78, DOI 10.1086/209528; Steger MF, 2008, J RES PERS, V42, P660, DOI 10.1016/j.jrp.2007.09.003; Steger MF, 2006, J PERS ASSESS, V86, P263, DOI 10.1207/s15327752jpa8603_03; Stoyles G, 2015, J SPIRITUAL MENT HE, V17, P119, DOI 10.1080/19349637.2015.985558; Tibaldi Nascimento R.B., 2019, AVALICAAO PSICOL, V18, P176, DOI [10.15689/ap.2019.1802.15459.08, DOI 10.15689/AP.2019.1802.15459.08]; van de Schoot R, 2013, FRONT PSYCHOL, V4, DOI 10.3389/fpsyg.2013.00770; Vandenberg RJ, 2000, ORGAN RES METHODS, V3, P4, DOI 10.1177/109442810031002; Viladrich C, 2017, AN PSICOL-SPAIN, V33, P755, DOI 10.6018/analesps.33.3.268401; Waisberg J. L., 1999, INT FORUM LOGOTHERAP, V22, P22, DOI DOI 10.17795/IJPBS.3753; WALTERS LH, 1980, EDUC PSYCHOL MEAS, V40, P1065, DOI 10.1177/001316448004000434; Wang T, 2022, CURR PSYCHOL, V41, P7824, DOI 10.1007/s12144-020-01273-3; Yaccarini C., 2017, PSOCIAL, V3, P31; Yang YY, 2010, STRUCT EQU MODELING, V17, P66, DOI 10.1080/10705510903438963; Yela M, 1996, PSICOTHEMA, V8, P249; Zuo B, 2021, PERS INDIV DIFFER, V183, DOI 10.1016/j.paid.2021.111110</t>
  </si>
  <si>
    <t>1664-1078</t>
  </si>
  <si>
    <t>FRONT PSYCHOL</t>
  </si>
  <si>
    <t>Front. Psychol.</t>
  </si>
  <si>
    <t>SEP 16</t>
  </si>
  <si>
    <t>10.3389/fpsyg.2022.974133</t>
  </si>
  <si>
    <t>5A1QO</t>
  </si>
  <si>
    <t>WOS:000862669000001</t>
  </si>
  <si>
    <t>Ruiz, JI; Castro-Abril, P; Lopez-Lopez, W; Paez, D; Mendez, L; Castro-Molinares, S; Yadira-Cepeda, Z; Caicedo-Bucheli, MA; Amaris, MD; Moncayo, JE; Camelo-Mendoza, R; Orduz-Gualdron, FS; Beltran-Espitia, M; Mongui, ZL; Dominguez, E; Alejo-Riveros, A; Perez-Cervantes, LE; Castillo, CO; Alvarado-Pinzon, L; Restrepo-Soto, JA; Alejo-Castillo, E; Orejuela, J; Rocha, A; Arizabaleta, MP</t>
  </si>
  <si>
    <t>Ignacio Ruiz, Jose; Castro-Abril, Pablo; Lopez-Lopez, Wilson; Paez, Dario; Mendez, Lander; Castro-Molinares, Suly; Yadira-Cepeda, Zulma; Alejandra Caicedo-Bucheli, Maria; Amaris, Maria del Carmen; Eduardo Moncayo, Jorge; Camelo-Mendoza, Rossana; Steward Orduz-Gualdron, Frank; Beltran-Espitia, Manuel; Lorena Mongui, Zulma; Dominguez, Elsy; Alejo-Riveros, Argemiro; Eduardo Perez-Cervantes, Luis; Orozco Castillo, Carolina; Alvarado-Pinzon, Laura; Alberto Restrepo-Soto, Jaime; Alejo-Castillo, Edgar; Orejuela, Johnny; Rocha, Areli; Perez Arizabaleta, Mar</t>
  </si>
  <si>
    <t>Colombian Truth Commission: Knowledge, perception, efficacy, and associated emotions</t>
  </si>
  <si>
    <t>Colombia's Truth Commission; psychosocial impact; transitional justice; reparation to victims; social reconciliation</t>
  </si>
  <si>
    <t>PSYCHOSOCIAL IMPACT; RECONCILIATION; FORGIVENESS</t>
  </si>
  <si>
    <t>The Truth Commission in Colombia was established based on the transitional justice model. Its function is to serve as a measure of recognition of the violent events during the armed conflict, which has left more than nine million victims. In this scenario, a descriptive correlational study (N=1166) was conducted with a sample of 22 provinces of the country to evaluate the knowledge, approval, and perceived effectiveness of the first years of the Commission from psychosocial aspects victimization, collective emotions, reconciliation, collective memory. 58% were direct victims. The results indicate high levels of approval and disposition to participate in the Commission's activities, as well as some skepticism about its usefulness and low confidence in the official apologies of the groups in conflict. A high index of positive emotions related to the commission and low trust in government institutions is also found. The findings of this study coincide with previous experiences of truth commissions in Latin America and open the debate on the specificities of the Colombian context in the search for peace and the implications of the commission's work in the reparation process.</t>
  </si>
  <si>
    <t>[Ignacio Ruiz, Jose] Univ Nacl Colombia, Carrera 30 45-03,Edificio 212,220, Bogota, Colombia; [Castro-Abril, Pablo] Univ Basque Country, Vitoria, Spain; [Castro-Abril, Pablo] Dept Psicol, Oficina 230,Carrera 30-45,Ciudad Univ, Bogota, Colombia; [Lopez-Lopez, Wilson] Pontificia Univ Javeriana, Bogota, Colombia; [Paez, Dario] Univ Basque Country, Av Tolosa 70, Guipuzcoa 20011, Spain; [Mendez, Lander] Univ Basque Country, Av Tolosa 70, Donostia San Sebastian 20018, Spain; [Castro-Molinares, Suly] Univ Nacl Abierta &amp; Distancia, Carrera 45B 18-15 Sur, Villavencio, Colombia; [Yadira-Cepeda, Zulma] Univ Surcolombiana, Carrera 12 B 2-27 Barrio Surinama, Tunja, Boyaca, Colombia; [Alejandra Caicedo-Bucheli, Maria] Fdn Univ Popayan, Ctr Invest Psicol, Popayan, Colombia; [Amaris, Maria del Carmen] Univ Norte, Barranquilla 080020, Colombia; [Eduardo Moncayo, Jorge] Univ Antonio Narino, Sede Cali, Cali, Colombia; [Camelo-Mendoza, Rossana] Univ Popular Cesar, Valledupar 200001, Colombia; [Steward Orduz-Gualdron, Frank] Univ Simon Bolivar, Barranquilla, Colombia; [Beltran-Espitia, Manuel] Univ Clateriana, Fdn Univ Clateriana, 27001-20 5-66 Barrio Yesquita, Medellin, Colombia; [Lorena Mongui, Zulma] Univ Pedag &amp; Tecnol Colombia, Cr 7 23-50, Tunja 15001, Boyoca, Colombia; [Dominguez, Elsy] Univ Tecnol Bolivar, Cartagena, Colombia; [Alejo-Riveros, Argemiro] Univ Ibague, Ibague, Colombia; [Eduardo Perez-Cervantes, Luis] Corp Univ Antonio Jose Sucre, Urbanizac Castillete Manzana C Casa 11, Carragena, Bolivar, Colombia; [Orozco Castillo, Carolina] Univ EAFIT, Invest, Medellin 055460, Colombia; [Alvarado-Pinzon, Laura] Univ Basque Country, Av Tolosa 70, San Sebastian 20013, Spain; [Alberto Restrepo-Soto, Jaime] Univ Manizales, Calle64B 20a55,Apartamento 303, Manizales, Colombia; [Alejo-Castillo, Edgar] Univ San Buenaventura, Medellin 050022, Colombia; [Orejuela, Johnny] Univ EAFIT Colombia, Dept Psicol, Calle 27 D Sur 28-50, Medellin, Colombia; [Rocha, Areli] Univ Norte, Psicol, Soledad 083005, Colombia; [Perez Arizabaleta, Mar] Univ Antonio Narino, Bogota, Colombia</t>
  </si>
  <si>
    <t>Universidad Nacional de Colombia; University of Basque Country; Universidad Nacional de Colombia; Pontificia Universidad Javeriana; University of Basque Country; University of Basque Country; Universidad del Norte Colombia; Universidad Antonio Narino; Universidad Pedagogica y Tecnologica de Colombia (UPTC); Universidad Tecnologica de Bolivar; Universidad EAFIT; University of Basque Country; Universidad de Manizales; Universidad EAFIT; Universidad del Norte Colombia; Universidad Antonio Narino</t>
  </si>
  <si>
    <t>Ruiz, JI (corresponding author), Univ Nacl Colombia, Carrera 30 45-03,Edificio 212,220, Bogota, Colombia.</t>
  </si>
  <si>
    <t>jiruizp@unal.edu.co; jiruizp@unal.ed.co; lopezw@javeriana.edu.co; Dario.paez@ehu.es; lander.mendez@ehu.eus; sulycastro@gmail.com; cepeda@usco.edu.co; invesrigacion.psicologia@fup.edu.co; mamaris@uninorte.edu.co; jomoncayo@uan.edu.co; rossanacamelo@unicesar.edu.co; dct.mbeltran@uniclaretiana.edu.co; zulma.mongui@uptc.edu.co; edominguez@etup.edu.eco; argemiro.alejo@unibague.edu.co; luis_perez@corposucre.edu.co; caro.orozco.castillo@gmail.com; laura91.ap@gmail.com; jaimea@umanizales.edu.co; edalejo@gmail.com; jorejue2@eafit.edu.co; arelir@uninorte.edu.co; maperez27@uan.edu.co</t>
  </si>
  <si>
    <t>Castro-Abril, Pablo Enrique/AAB-4702-2021; Paez, Dario/D-5207-2009; Alejo, Edgar G/C-4764-2017; MENDEZ CASAS, LANDER/ABG-4416-2022</t>
  </si>
  <si>
    <t>Castro-Abril, Pablo Enrique/0000-0001-9074-3921; Paez, Dario/0000-0002-8459-6037; Lopez-Lopez, Wilson/0000-0002-2964-0402; Dominguez, Elsy Mercedes/0000-0001-7918-9982; Alejo, Edgar G/0000-0002-7007-2435; Beltran E., Manuel/0000-0001-6876-3088; Ruiz Perez, Jose Ignacio/0000-0002-8996-9736; Caicedo Bucheli, Maria Alejandra/0000-0002-1549-9989; Moncayo Quevedo, Jorge Eduardo/0000-0001-6458-4162; Alejo Riveros, Argemiro/0000-0002-8220-196X; MENDEZ CASAS, LANDER/0000-0001-7875-6949; Castro Molinares, Suly Patricia/0000-0002-2876-7401; Cepeda Rodriguez, Zulma Yadira/0000-0002-5520-5391</t>
  </si>
  <si>
    <t>Arnoso M., 2014, SALUD SOC, V5, P098; Beristain C. M., 2016, COMISION VERDAD COLO, P83; Blanca MJ, 2017, PSICOTHEMA, V29, P552, DOI 10.7334/psicothema2016.383; Cardenas M, 2013, REV PSICOL SOC, V28, P145, DOI 10.1174/021347413806196717; Cardenas-Castro M, 2021, J INTERPERS VIOLENCE, V36, P428, DOI 10.1177/0886260517727494; Cusi O., 2018, REV LATINOAMERICANA, V4; Espinosa A, 2017, POLIT PSYCHOL, V38, P849, DOI 10.1111/pops.12364; Hamber B, 2007, PEACE CONFL, V13, P115, DOI 10.1037/h0094027; Hervas G, 2013, HEALTH QUAL LIFE OUT, V11, DOI 10.1186/1477-7525-11-66; Jurisdiccion Especial para la Paz, 2019, SISTEMA INTEGRAL VER, P2; Lopez-Lopez W., 2020, PEACE PSYCHOL, P16; Lopez-Lopez W, 2021, Psychol Latin Am Ser, P131, DOI 10.1037/0000230-007; López-López Wilson, 2016, Pensam. psicol., V14, P49, DOI 10.11144/Javerianacali.PPSI14-2.aieu; Lopez-Lopez W, 2012, PSICOLOGICA, V33, P655; Martin-Beristain C., 2011, SUPERANDO VIOLENCIA, P475; Martínez Maitane Arnoso, 2015, Cad. Pesqui., V45, P276, DOI 10.1590/198053143134; Mathias A., 2019, THESIS U BASQUE COUN; Mathias A., 2020, REV PSICOL SOC, V35, P203, DOI [10.1080/02134748.2020.1721053, DOI 10.1080/02134748.2020.1721053]; Mullet E., 2011, SUPERANDO VIOLENCIA, P377; Noor M, 2015, GROUP PROCESS INTERG, V18, P644, DOI 10.1177/1368430215586604; Paez D, 2018, REV LATINOAMERICANA, V4, P1; Paez D, 1997, REV PSICOLOGIA SOCIA, V1, P79, DOI DOI 10.1174/021347497320892045; Paez DR, 2011, FRONT SOC PSYCHOL, P105; Registro Unico de Victimas, 2020, UN VICT GOB NAC; Reyes C., 2015, PSICOLOGIA POLITICA, V15, P119; Reyes C., 2019, INTERAM J PSYCHOL, V52, P379; Rime B., 2012, COMPARTICION SOCIAL; Ruiz José Ignacio, 2010, Suma Psicol., V17, P169; Ruiz Pérez José Ignacio, 2015, Pensam. psicol., V13, P119, DOI 10.11144/Javerianacali.PPSI13-1.rcpe; Staub E., 2012, OXFORD HDB INTERGROU, P309; Trejos Luis., 2013, REV ENFOQUES CIENCIA, VXI, P55; Wohl MJA, 2005, J PERS SOC PSYCHOL, V88, P288, DOI 10.1037/0022-3514.88.2.288</t>
  </si>
  <si>
    <t>10.18800/psico.202201.005</t>
  </si>
  <si>
    <t>WOS:000731882000006</t>
  </si>
  <si>
    <t>Rodriguez-Burgos, AM; Briceno-Zuluaga, FJ; Jimenez, JLA; Hearn, A; Penaherrera-Palma, C; Espinoza, E; Ketchum, J; Klimley, P; Steiner, T; Arauz, R; Joan, E</t>
  </si>
  <si>
    <t>Rodriguez-Burgos, Aura Maria; Javier Briceno-Zuluaga, Francisco; Avila Jimenez, Julian Leonardo; Hearn, Alex; Penaherrera-Palma, Cesar; Espinoza, Eduardo; Ketchum, James; Klimley, Peter; Steiner, Todd; Arauz, Randall; Joan, Elpis</t>
  </si>
  <si>
    <t>The impact of climate change on the distribution of Sphyrna lewini in the tropical eastern Pacific</t>
  </si>
  <si>
    <t>MARINE ENVIRONMENTAL RESEARCH</t>
  </si>
  <si>
    <t>KUENM; Ecological niche modelling; Upwelling; Hammerhead shark; Climate change</t>
  </si>
  <si>
    <t>SCALLOPED HAMMERHEAD SHARK; COCO NATIONAL-PARK; SPECIES DISTRIBUTION; OCEAN ACIDIFICATION; HABITAT PREFERENCES; MOVEMENT PATTERNS; HUMBOLDT CURRENT; CIRCULATION; FUTURE; CARCHARHINIFORMES</t>
  </si>
  <si>
    <t>Variability and climate change due to anthropic influence have brought about alterations to marine ecosystems, that, in turn, have affected the physiology and metabolism of ectotherm species, such as the common hammerhead shark (Sphyrna lewini). However, the impact that climate variability may have on this species' distribution, particularly in the Eastern Tropical Pacific Marine Corridor, which is considered an area with great marine biodiversity, is unknown. The purpose of this research was to evaluate the effect of derivate impact of climate change on the oceanographic distribution of the hammerhead shark (Sphyrna lewini) in the Eastern Tropical Pacific Marine Corridor, contrasting the present and future scenarios for 2050. The methodology used was an ecological niche model based on the KUENM R package software that uses the maximum entropy algorithm (MaxEnt). The modelling was made for the year 2050 under RCP2.6 and RCP8.5 scenarios. A total of 952 models were made, out of which only one met the statistical parameters established as optimal, for future scenarios. The environmental suitability for S.lewini shows that this species would migrate to the south in the Chilean Pacific, associated with a possible warming that the equatorial zone will have and the possible cooling that the subtropical zone of the South Pacific will have by 2050, the product of changes in oceanographic dynamics.</t>
  </si>
  <si>
    <t>[Rodriguez-Burgos, Aura Maria; Javier Briceno-Zuluaga, Francisco] Univ Mil Nueva Granada, Fac Ciencias Basicas &amp; Aplicadas, Cajica, Colombia; [Rodriguez-Burgos, Aura Maria; Javier Briceno-Zuluaga, Francisco] JEAI IRD UMNG CHARISMA, Cajica, Colombia; [Avila Jimenez, Julian Leonardo] Pedag &amp; Technol Univ Colombia, Tunja, Colombia; [Hearn, Alex] Univ San Francisco Quito, Galapagos Sci Ctr, Quito, Ecuador; [Hearn, Alex; Penaherrera-Palma, Cesar; Espinoza, Eduardo; Klimley, Peter; Arauz, Randall; Joan, Elpis] MigraMar, Sir Francis Drake Blvd, Olema, CA USA; [Espinoza, Eduardo] Inst Nacl Biodiversidad INABIO, Direcc Parque Nacl Galapagos, Quito, Ecuador; [Ketchum, James] Ctr Invest Biol Noroeste, Pelagios Kakunja, La Paz, Mexico; [Klimley, Peter] Univ Calif Davis, Davis, CA 95616 USA; [Steiner, Todd] Turtle Isl Restorat Network, Forest Knolls, CA USA; [Arauz, Randall] Fins Attached, Colorado Springs, CO USA</t>
  </si>
  <si>
    <t>Universidad Pedagogica y Tecnologica de Colombia (UPTC); CIBNOR - Centro de Investigaciones Biologicas del Noroeste; Telefonica SA; University of California System; University of California Davis</t>
  </si>
  <si>
    <t>Rodriguez-Burgos, AM (corresponding author), Univ Mil Nueva Granada, Fac Ciencias Basicas &amp; Aplicadas, Cajica, Colombia.</t>
  </si>
  <si>
    <t>aurismarobu@gmail.com; francisco.briceno@unimilitar.edu.co; julianleonardo.avilajimenez@gmail.com; ahearn@usfq.edu.ec; crpenaherrera@gmail.com; eespinoza@galapagos.gob.ec; jtketchum@ucdavis.edu; apklimley@ucdavis.edu; tsteiner@tirn.net; rarauz@finsattached.org; elpis_joan@hotmail.com</t>
  </si>
  <si>
    <t>Rodriguez-Burgos, Aura Maria/0000-0002-9104-4417; Avila-Jimenez, Julian/0000-0002-5768-1746; Hearn, Alex/0000-0002-4986-098X; Briceno Zuluaga, Francisco Javier/0000-0002-2696-0996</t>
  </si>
  <si>
    <t>CHARISMA project (JEAL-IRD/UMNG); Militar Nueva Granada University [EXT-CLAS-3638]; IRD-FRANCE [EXT-CLAS-3638]; Colombia Biodiversa - Alejandro Angel Escobar Foundation</t>
  </si>
  <si>
    <t>CHARISMA project (JEAL-IRD/UMNG); Militar Nueva Granada University; IRD-FRANCE; Colombia Biodiversa - Alejandro Angel Escobar Foundation</t>
  </si>
  <si>
    <t>Aura Maria Rodriguez Burgos and Francisco Brice ~no Zuluaga was supported by the CHARISMA project (JEAL-IRD/UMNG). This article was derived from the research project EXT-CLAS-3638 financed by the vice-rectorate for research of the Militar Nueva Granada University and the IRD-FRANCE, validity 2021-1. Likewise, we thank Migramar for making part of the data used in this work available. Finally, Aura Maria Rodriguez Burgos would like to thank the financial support provided by the scholarship named Colombia Biodiversa awarded by the Alejandro ' Angel Escobar Foundation.</t>
  </si>
  <si>
    <t>Cuevas-Gomez GA, 2020, J FISH BIOL, V97, P1087, DOI 10.1111/jfb.14471; Andrzejaczek S, 2018, SCI REP-UK, V8, DOI 10.1038/s41598-018-26485-3; Flores-Martinez IA, 2017, J MAR BIOL ASSOC UK, V97, P337, DOI 10.1017/S0025315416000424; Bakun A, 2015, CURR CLIM CHANGE REP, V1, P85, DOI 10.1007/s40641-015-0008-4; Barnes EA, 2019, GEOPHYS RES LETT, V46, P13389, DOI 10.1029/2019GL084944; Belmadani A, 2014, CLIM DYNAM, V43, P1893, DOI 10.1007/s00382-013-2015-2; Bentlage B, 2013, GLOBAL ECOL BIOGEOGR, V22, P952, DOI 10.1111/geb.12049; Bernal D, 2012, CRC MAR BIOL SER, P211; Bessudo S, 2011, ENVIRON BIOL FISH, V91, P165, DOI 10.1007/s10641-011-9769-3; Cai WJ, 2018, NATURE, V564, P201, DOI 10.1038/s41586-018-0776-9; Campbell HA, 2012, MAR FRESHWATER RES, V63, P341, DOI 10.1071/MF11229; Carre M, 2021, QUATERNARY SCI REV, V268, DOI 10.1016/j.quascirev.2021.107125; Cartamil D, 2010, MAR FRESHWATER RES, V61, P596, DOI 10.1071/MF09153; Chavez EJ, 2020, REV BIOL TROP, V68, P320, DOI 10.15517/rbt.v68is1.41202; Chavez FP, 2008, PROG OCEANOGR, V79, P95, DOI 10.1016/j.pocean.2008.10.012; Cobos ME, 2019, PEERJ, V7, DOI 10.7717/peerj.6281; Coiraton C, 2020, SCI REP-UK, V10, DOI 10.1038/s41598-020-58735-8; del Monte luna P, 2013, INTERCIENCIA, V38, P712; Dixson DL, 2015, GLOBAL CHANGE BIOL, V21, P1454, DOI 10.1111/gcb.12678; England MH, 2014, NAT CLIM CHANGE, V4, P222, DOI [10.1038/NCLIMATE2106, 10.1038/nclimate2106]; Estupinan-Montano C, 2017, ACTA ICHTHYOL PISCAT, V47, P357, DOI 10.3750/AIEP/02177; Fangue NA, 2003, COPEIA, P315; Flint J, 2017, PLOS ONE, V12, DOI 10.1371/journal.pone.0182548; Flores-Aqueveque V, 2020, CLIM PAST, V16, P79, DOI 10.5194/cp-16-79-2020; Fosu B, 2020, GEOPHYS RES LETT, V47, DOI 10.1029/2020GL088231; Francis MP, 2016, NEW ZEAL J MAR FRESH, V50, P506, DOI 10.1080/00288330.2016.1171244; Francis MP, 2013, PLOS ONE, V8, DOI 10.1371/journal.pone.0057021; Friedlander AM, 2012, REV BIOL TROP, V60, P321; Gallagher AJ, 2018, REV FISH BIOL FISHER, V28, P777, DOI 10.1007/s11160-018-9530-5; Gattuso JP, 2015, SCIENCE, V349, DOI 10.1126/science.aac4722; Gonzalez-Pestana A., 2018, THESIS J COOK U AUST, DOI [10.13140/RG.2.2.21919.00167, DOI 10.13140/RG.2.2.21919.00167]; Guillera-Arroita G, 2014, METHODS ECOL EVOL, V5, P1192, DOI 10.1111/2041-210X.12252; Hadi S, 2020, PLOS ONE, V15, DOI 10.1371/journal.pone.0230763; Harley CDG, 2006, ECOL LETT, V9, P228, DOI 10.1111/j.1461-0248.2005.00871.x; Hearn A, 2010, MAR BIOL, V157, P1899, DOI 10.1007/s00227-010-1460-2; Hoegh-Guldberg O, 2010, SCIENCE, V328, P1523, DOI 10.1126/science.1189930; Hoffmayer ER, 2013, B MAR SCI, V89, P551, DOI 10.5343/bms.2012.1048; Ibarra-Montoya José L., 2012, Rev. Ambient. Água, V7, P218, DOI 10.4136/ambi-agua.607; Kalinski C, 2019, THESIS U SO CALIFORN; Kao HY, 2015, J GEOPHYS RES-OCEANS, V120, P1096, DOI 10.1002/2014JC010114; Karimi T, 2021, J ENVIRON MANAGE, V287, DOI 10.1016/j.jenvman.2021.112301; Ketchum JT, 2014, MAR BIOL, V161, P755, DOI 10.1007/s00227-013-2375-5; Ko GWK, 2014, ENVIRON SCI TECHNOL, V48, P10079, DOI 10.1021/es501611u; Leach K, 2016, ECOL MODEL, V337, P96, DOI 10.1016/j.ecolmodel.2016.06.008; Lezama-Ochoa N, 2017, FRONT MAR SCI, V4, DOI 10.3389/fmars.2017.00265; Marie AD, 2017, SCI REP-UK, V7, DOI 10.1038/s41598-017-17152-0; Martin CS, 2012, J EXP MAR BIOL ECOL, V418, P91, DOI 10.1016/j.jembe.2012.03.010; Mateo R.G., 2012, REDUCA BIOL, V5; McGregor S, 2014, NAT CLIM CHANGE, V4, P888, DOI [10.1038/nclimate2330, 10.1038/NCLIMATE2330]; Encina FMM, 2020, MADERA BOSQUES, V26, DOI 10.21829/myb.2020.2622002; Nalesso E, 2019, PLOS ONE, V14, DOI 10.1371/journal.pone.0213741; Navarro-Monterroza Estefanía, 2019, Rev. acad. colomb. cienc. exact. fis. nat., V43, P120, DOI 10.18257/raccefyn.704; Owens HL, 2013, ECOL MODEL, V263, P10, DOI 10.1016/j.ecolmodel.2013.04.011; Oyarzun D, 2019, CLIM DYNAM, V52, P599, DOI 10.1007/s00382-018-4158-7; Papastamatiou YP, 2015, PLOS ONE, V10, DOI 10.1371/journal.pone.0127807; Peterson AT, 2008, ECOL MODEL, V213, P63, DOI 10.1016/j.ecolmodel.2007.11.008; Pistevos JCA, 2015, SCI REP-UK, V5, DOI 10.1038/srep16293; Pliscoff P, 2011, REV GEOGR NORTE GD, P61, DOI 10.4067/S0718-34022011000100005; Portner HO, 2007, SCIENCE, V315, P95, DOI 10.1126/science.1135471; Poloczanska ES, 2013, NAT CLIM CHANGE, V3, P919, DOI [10.1038/NCLIMATE1958, 10.1038/nclimate1958]; Poulakis GR, 2011, MAR FRESHWATER RES, V62, P1165, DOI 10.1071/MF11008; Rivas ML, 2018, ANIM CONSERV, V21, P387, DOI 10.1111/acv.12404; Roberts CM, 2017, P NATL ACAD SCI USA, V114, P6167, DOI 10.1073/pnas.1701262114; Rodríguez-Rubio Efraín, 2011, Bol. Invest. Mar. Cost., V40, P19; Rosa R, 2014, P ROY SOC B-BIOL SCI, V281, DOI 10.1098/rspb.2014.1738; Salinas-de-Leon P, 2017, ENVIRON BIOL FISH, V100, P1603, DOI 10.1007/s10641-017-0668-0; Salomon-Aguilar CA, 2009, CIENC MAR, V35, P369, DOI 10.7773/cm.v35i4.1435; Schlaff AM, 2014, REV FISH BIOL FISHER, V24, P1089, DOI 10.1007/s11160-014-9364-8; Soberon J, 2017, REV MEX BIODIVERS, V88, P437, DOI 10.1016/j.rmb.2017.03.011; Soler G.A., 2013, LATIN AM J CONSERVAT, V3, P28; Speed CW, 2012, MAR ECOL PROG SER, V463, P231, DOI 10.3354/meps09864; Srivastava V, 2018, ECOL MODEL, V385, P35, DOI 10.1016/j.ecolmodel.2018.07.001; Tyberghein L, 2012, GLOBAL ECOL BIOGEOGR, V21, P272, DOI 10.1111/j.1466-8238.2011.00656.x; Varela S., 2014, Ecosistemas, V23, P46; Vasquez MC, 2019, COMP BIOCHEM PHYS A, V236, DOI 10.1016/j.cbpa.2019.110528; Wang DW, 2015, NATURE, V518, P390, DOI 10.1038/nature14235; Xiu P, 2018, SCI REP-UK, V8, DOI 10.1038/s41598-018-21247-7; Yates PM, 2015, PLOS ONE, V10, DOI 10.1371/journal.pone.0121346; Zanella I, 2016, REV BIOL TROP, V64, pS201; Zheng XT, 2016, J CLIMATE, V29, P7265, DOI 10.1175/JCLI-D-16-0039.1</t>
  </si>
  <si>
    <t>0141-1136</t>
  </si>
  <si>
    <t>1879-0291</t>
  </si>
  <si>
    <t>MAR ENVIRON RES</t>
  </si>
  <si>
    <t>Mar. Environ. Res.</t>
  </si>
  <si>
    <t>10.1016/j.marenvres.2022.105696</t>
  </si>
  <si>
    <t>Environmental Sciences; Marine &amp; Freshwater Biology; Toxicology</t>
  </si>
  <si>
    <t>Environmental Sciences &amp; Ecology; Marine &amp; Freshwater Biology; Toxicology</t>
  </si>
  <si>
    <t>4R2AR</t>
  </si>
  <si>
    <t>WOS:000856571600001</t>
  </si>
  <si>
    <t>Caycho-Rodriguez, T; Vilca, LW; Cervigni, M; Gallegos, M; Martino, P; Calandra, M; Anacona, CAR; Lopez-Calle, C; Moreta-Herrera, R; Chacon-Andrade, ER; Lobos-Rivera, ME; del Carpio, P; Quintero, Y; Robles, E; Lombardo, MP; Recalde, OG; Figares, AB; White, M; Videla, CB; Carbajal-Leon, C</t>
  </si>
  <si>
    <t>Caycho-Rodriguez, Tomas; Vilca, Lindsey W.; Cervigni, Mauricio; Gallegos, Miguel; Martino, Pablo; Calandra, Manuel; Rey Anacona, Cesar Armando; Lopez-Calle, Claudio; Moreta-Herrera, Rodrigo; Rene Chacon-Andrade, Edgardo; Elias Lobos-Rivera, Marlon; del Carpio, Perla; Quintero, Yazmin; Robles, Erika; Panza Lombardo, Macerlo; Gamarra Recalde, Olivia; Buschiazzo Figares, Andres; White, Michael; Burgos Videla, Carmen; Carbajal-Leon, Carlos</t>
  </si>
  <si>
    <t>Cross-cultural measurement invariance of the purpose in life test - Short form (PIL-SF) in seven Latin American countries</t>
  </si>
  <si>
    <t>CURRENT PSYCHOLOGY</t>
  </si>
  <si>
    <t>Measurement invariance; Latin America; Purpose in life, cross-cultural research/comparison; Item response theory</t>
  </si>
  <si>
    <t>FACTOR-ANALYTIC EVALUATION; ITEM RESPONSE THEORY; NOETIC GOALS SONG; HORIZON OIL-SPILL; PSYCHOMETRIC PROPERTIES; INTERNAL CONSISTENCY; FACTORIAL STRUCTURE; EMERGING ADULTHOOD; PERSONAL GOALS; IN-LIFE</t>
  </si>
  <si>
    <t>The aim was to test the cross-cultural measurement invariance of the PIL-SF in a sample of people from seven Latin American countries. Additionally, the characteristics of the PIL-SF items were evaluated and to assess the relationship between purpose in life, as measured by the PIL-SF, and fear of COVID-19. A total of 4306 people from seven Latin American countries participated in the study. The results indicated that the PIL-SF is invariant in the seven participating countries and, therefore, there is evidence that the items reflect the purpose of life in the same way in all countries. This allows comparisons of purpose in life between countries that are free of bias, reflecting the true differences in how countries respond to items. From IRT, the discrimination parameters are adequate and indicate that the items cover a wide range of the purpose in life construct. The difficulty parameters are adequate and increase monotonically. This indicates that people would need a higher level of purpose in life to respond to the higher response categories. Thus, the PIL-SF items would be useful in determining people with a relatively high degree of purpose in life. Identifying people with different levels of purpose in life would allow them to be part of intervention programs, either to support those with low levels or to maintain and reinforce their purpose in life. The evidence of cross-country measurement invariance of the PIL-SF provides a measure to be used in cross-cultural studies about the meaning of life.</t>
  </si>
  <si>
    <t>[Caycho-Rodriguez, Tomas] Univ Privada Norte, Fac Ciencias Salud, Av Alfredo Mendiola 6062, Lima, Peru; [Vilca, Lindsey W.] Univ Norbert Wiener, South Amer Ctr Educ &amp; Res Publ Hlth, Lima, Peru; [Cervigni, Mauricio; Gallegos, Miguel; Martino, Pablo; Calandra, Manuel] Univ Nacl Rosario, Fac Psicol, Rosario, Argentina; [Cervigni, Mauricio; Martino, Pablo; Calandra, Manuel] Univ Nacl Rosario, Fac Psicol, Ctr Invest Neurociencias Rosario, Rosario, Argentina; [Cervigni, Mauricio; Martino, Pablo; Calandra, Manuel] Univ Nacl Rosario, Fac Psicol, Lab Cognic &amp; Emoc, Rosario, Argentina; [Cervigni, Mauricio; Gallegos, Miguel; Martino, Pablo] Consejo Nacl Invest Cient &amp; Tecn, Mendoza, Argentina; [Gallegos, Miguel] Univ Catolica Maule, Talca, Chile; [Gallegos, Miguel] Pontificia Univ Catolica Minas Gerais, Belo Horizonte, MG, Brazil; [Rey Anacona, Cesar Armando] Univ Pedag &amp; Tecnol Colombia, Tunja, Colombia; [Lopez-Calle, Claudio] Univ Cuenca, Fac Psicol, Cuenca, Ecuador; [Moreta-Herrera, Rodrigo] Pontificia Univ Catolica Ecuador, Escuela Psicol, Ambato, Ecuador; [Rene Chacon-Andrade, Edgardo; Elias Lobos-Rivera, Marlon] Univ Tecnol El Salvador, Fac Ciencias Sociales, Escuela Psicol, San Salvador, El Salvador; [del Carpio, Perla; Quintero, Yazmin] Univ Guanajuato, Guanajuato, Mexico; [Robles, Erika] Univ Autonoma Estado Mexico, Toluca, Mexico; [Panza Lombardo, Macerlo] Univ Nacl Este, Ciudad Del Este, Paraguay; [Gamarra Recalde, Olivia] Sensorium, Asuncion, Paraguay; [Buschiazzo Figares, Andres] Ctr Estudios Adlerianos, Montevideo, Uruguay; [White, Michael] Univ Peruana Union, Fac Ciencias Humanas &amp; Educ, Lima, Peru; [Burgos Videla, Carmen] Univ Atacama, Inst Invest Ciencias Sociales &amp; Educ, Copiapo, Chile; [Carbajal-Leon, Carlos] Univ Peruana Ciencias Aplicadas, Fac Psicol, Lima, Peru</t>
  </si>
  <si>
    <t>Universidad Privada del Norte; Universidad Norbert Wiener; National University of Rosario; National University of Rosario; National University of Rosario; Consejo Nacional de Investigaciones Cientificas y Tecnicas (CONICET); Universidad Catolica del Maule; Pontificia Universidade Catolica de Minas Gerais; Universidad Pedagogica y Tecnologica de Colombia (UPTC); Universidad de Cuenca; Pontificia Universidad Catolica del Ecuador; Universidad de Guanajuato; Universidad Peruana Union; Universidad de Atacama; Universidad Peruana de Ciencias Aplicadas (UPC)</t>
  </si>
  <si>
    <t>Caycho-Rodriguez, T (corresponding author), Univ Privada Norte, Fac Ciencias Salud, Av Alfredo Mendiola 6062, Lima, Peru.</t>
  </si>
  <si>
    <t>Moreta-Herrera, Rodrigo/M-5266-2018; Vilca, Lindsey W./S-3926-2019</t>
  </si>
  <si>
    <t>Moreta-Herrera, Rodrigo/0000-0003-0134-5927; Vilca, Lindsey W./0000-0002-8537-9149; Carbajal-Leon, Carlos/0000-0001-6714-519X; del Carpio Ovando, Perla Shiomara/0000-0002-4907-783X</t>
  </si>
  <si>
    <t>Ahorsu DK, 2022, INT J MENT HEALTH AD, V20, P1537, DOI 10.1007/s11469-020-00270-8; Aiena BJ, 2016, J CLIN PSYCHOL, V72, P1264, DOI 10.1002/jclp.22232; Akbari B., 2019, J RELIG HEALTH, V7, P11; Armas M., 2018, EUROPEAN J HLTH RES, V4, P43, DOI [10.30552/ejhr.v4i1.89, DOI 10.30552/EJHR.V4I1.89]; Arslan G, 2022, PSYCHOL HEALTH MED, V27, P803, DOI 10.1080/13548506.2021.1876892; Asparouhov T, 2014, STRUCT EQU MODELING, V21, P495, DOI 10.1080/10705511.2014.919210; Atak H., 2008, INT J ED PEDAGOGICAL, V2, P392; Bader M, 2021, PSYCHOL ASSESSMENT, V33, P375, DOI 10.1037/pas0000989; Baltaci, 2021, ED POLICY ANAL STRAT, V16, P46, DOI [10.29329/epasr.2020.345.3, DOI 10.29329/EPASR.2020.345.3]; Batthyany A., 2006, EMPIRICAL RES LOGOTH; Baumeister RF, 2013, J POSIT PSYCHOL, V8, P505, DOI 10.1080/17439760.2013.830764; Bieda A, 2017, PSYCHOL ASSESSMENT, V29, P408, DOI 10.1037/pas0000353; Boer D, 2018, J CROSS CULT PSYCHOL, V49, P713, DOI 10.1177/0022022117749042; Borsboom D, 2006, MED CARE, V44, pS176, DOI 10.1097/01.mlr.0000245143.08679.cc; Boyraz G, 2013, J PERS ASSESS, V95, P423, DOI 10.1080/00223891.2013.765882; Brown TA, 2015, CONFIRMATORY FACTOR, V2; Brunelli C, 2012, SUPPORT CARE CANCER, V20, P2775, DOI 10.1007/s00520-012-1399-6; Byrne BM, 2017, PSICOTHEMA, V29, P539, DOI 10.7334/psicothema2017.178; Byrne BM, 2003, J CROSS CULT PSYCHOL, V34, P155, DOI 10.1177/0022022102250225; Chen FF, 2007, STRUCT EQU MODELING, V14, P464, DOI 10.1080/10705510701301834; Cheraghifard M, 2021, TOP STROKE REHABIL, V28, P422, DOI 10.1080/10749357.2020.1834275; Crea G, 2016, MENT HEALTH RELIG CU, V19, P858, DOI 10.1080/13674676.2016.1277988; Cronbach LJ, 1951, PSYCHOMETRIKA, V16, P297; CRUMBAUGH JC, 1964, J CLIN PSYCHOL, V20, P200, DOI 10.1002/1097-4679(196404)20:2&lt;200::AID-JCLP2270200203&gt;3.0.CO;2-U; CRUMBAUGH JC, 1977, J CLIN PSYCHOL, V33, P900, DOI 10.1002/1097-4679(197707)33:3&lt;900::AID-JCLP2270330362&gt;3.0.CO;2-8; Davidov E, 2014, ANNU REV SOCIOL, V40, P55, DOI 10.1146/annurev-soc-071913-043137; Dhanjal H., 2019, IAHRW INT J SOC SCI, V7, P536; Dimitrov DM, 2010, MEAS EVAL COUNS DEV, V43, P121, DOI 10.1177/0748175610373459; Disabato DJ, 2017, COGNITIVE THER RES, V41, P444, DOI 10.1007/s10608-016-9785-x; Echeverria I, 2021, INT J ENV RES PUB HE, V18, DOI 10.3390/ijerph18147235; Finney SJ, 2006, QUANT METH EDUC BEHA, P269; Fischer IC, 2021, J HAPPINESS STUD, V22, P1341, DOI 10.1007/s10902-020-00275-z; Fischer R, 2019, FRONT PSYCHOL, V10, DOI 10.3389/fpsyg.2019.01507; Francis LJ., 2019, MENTAL HLTH RELIG CU, V22, P602, DOI [10.1080/13674676.2018.1538205, DOI 10.1080/13674676.2018.1538205]; Frankl V. E., 2014, WILL MEANING FDN APP; Garcia-Alandete J., 2016, LOGOTHERAPY EXISTENT, P75; Garcia-Alandete J, 2019, CLIN PSYCHOL PSYCHOT, V26, P24, DOI 10.1002/cpp.2327; Garcia-Alandete J, 2017, SPAN J PSYCHOL, V20, DOI 10.1017/sjp.2017.28; García-Alandete Joaquín, 2014, Pensam. psicol., V12, P83; Garcia-Alandete J, 2013, UNIV PSYCHOL, V12, P517, DOI 10.11144/Javeriana.UPSY12-2.efci; Gefen D, 2003, COMMUNICATIONS AIS, V12, P23; George LS, 2016, REV GEN PSYCHOL, V20, P205, DOI 10.1037/gpr0000077; Gosling SD, 2003, J RES PERS, V37, P504, DOI 10.1016/S0092-6566(03)00046-1; Gottfried A., 2016, REV PSICOLOGIA, V12, P49; Green SB, 2009, PSYCHOMETRIKA, V74, P155, DOI 10.1007/s11336-008-9099-3; Halama P., 2009, INT FORUM LOGOTHERAP, V32, P84; Hamama L, 2021, YOUTH SOC, V53, P699, DOI 10.1177/0044118X19883736; Hambleton RK, 2010, HANDBOOK OF POLYTOMOUS ITEM RESPONSE THEORY MODELS, P21; HARLOW LL, 1987, BRIT J CLIN PSYCHOL, V26, P235, DOI 10.1111/j.2044-8260.1987.tb01355.x; Haugan G, 2013, J NURS MEAS, V21, P296, DOI 10.1891/1061-3749.21.2.296; Hayashi J.R.P., 2017, EUR J APPL BUS MANAG, V3, P136; Hays RD, 2000, MED CARE, V38, P28; He J., 2012, ONLINE READINGS PSYC, V2, DOI [DOI 10.9707/2307-0919.1111, DOI 10.9707/2307-0919.11]; Heintzelman SJ, 2014, AM PSYCHOL, V69, P561, DOI 10.1037/a0035049; Heintzelman SJ, 2014, PERS SOC PSYCHOL REV, V18, P153, DOI 10.1177/1088868313518487; Herzberg PY, 2006, EUR J PSYCHOL ASSESS, V22, P139, DOI 10.1027/1015-5759.22.3.139; HOFSTEDE G, 1984, J CROSS CULT PSYCHOL, V15, P417, DOI 10.1177/0022002184015004003; Hofstede G., 2001, INT J CROSS CULT MAN, V1, P11, DOI [DOI 10.1177/147059580111002, 10.1177/147059580111002]; Hofstede G., 2001, CULTURES CONSEQUENCE; Jonsen E, 2010, SCAND J CARING SCI, V24, P41, DOI 10.1111/j.1471-6712.2008.00682.x; Jorgensen T. D., 2018, **DATA OBJECT**; Joseph S, 2004, PSYCHOL PSYCHOTHER-T, V77, P463, DOI 10.1348/1476083042555406; Karatas Z, 2021, FRONT PSYCHOL, V12, DOI 10.3389/fpsyg.2021.633384; King LA, 2016, CURR DIR PSYCHOL SCI, V25, P211, DOI 10.1177/0963721416656354; Kitayama S, 2010, FRONT PSYCHOL, V1, DOI 10.3389/fpsyg.2010.00163; Klein N, 2017, J POSIT PSYCHOL, V12, P354, DOI 10.1080/17439760.2016.1209541; Kline RB., 2011, PRINCIPLES PRACTICE, V3, P427; Koltko-Rivera ME, 2004, REV GEN PSYCHOL, V8, P3, DOI 10.1037/1089-2680.8.1.3; Krings F, 2008, J ADULT DEV, V15, P93, DOI 10.1007/s10804-008-9039-6; Kumar D., 2008, J PROJECTIVE PSYCHOL, V15, P52; Lambert NM, 2013, PERS SOC PSYCHOL B, V39, P1418, DOI 10.1177/0146167213499186; Law BMF, 2012, SCI WORLD J, DOI 10.1100/2012/685741; Lew B, 2021, BMC PUBLIC HEALTH, V21, DOI 10.1186/s12889-021-10370-2; Lew B, 2020, BMC PSYCHIATRY, V20, DOI 10.1186/s12888-020-02485-4; Lomazzi V, 2018, METHODS DATA ANAL, V12, P77, DOI 10.12758/mda.2017.09; Maaravi Y, 2021, FRONT PUBLIC HEALTH, V9, DOI 10.3389/fpubh.2021.627559; Magana Valladares L., 2004, REV CTR INVEST U SAL, V6, P5; Marco JH, 2017, PSYCHIAT RES, V247, P120, DOI 10.1016/j.psychres.2016.11.011; Marsh A, 2003, EDUC PSYCHOL MEAS, V63, P859, DOI 10.1177/0013164402251040; Ortiz EM, 2012, REV ARGENT CLIN PSIC, V21, P85; Mascaro N, 2008, J SOC CLIN PSYCHOL, V27, P576, DOI 10.1521/jscp.2008.27.6.576; Matos M, 2023, CURR PSYCHOL, V42, P7161, DOI 10.1007/s12144-021-02019-5; McAdams D. P., 2013, PERSPECT PSYCHOL SCI, P171, DOI [10.1037/14040-009, DOI 10.1037/14040-009]; Milfont TL, 2010, INT J PSYCHOL RES, V3, P111; Minkov M, 2018, CROSS CULT STRATEG M, V25, P231, DOI 10.1108/CCSM-03-2017-0033; MOLCAR CC, 1988, J PSYCHOL, V122, P365, DOI 10.1080/00223980.1988.9915523; Morgan J, 2009, J HAPPINESS STUD, V10, P197, DOI 10.1007/s10902-007-9075-0; Muthen B, 2014, FRONT PSYCHOL, V5, DOI 10.3389/fpsyg.2014.00978; Pacak-Vedel A, 2021, SCAND J PSYCHOL, V62, P833, DOI 10.1111/sjop.12776; Peter C, 2016, J REHABIL MED, V48, P175, DOI 10.2340/16501977-2028; Proulx T, 2012, PSYCHOL INQ, V23, P317, DOI 10.1080/1047840X.2012.702372; REKER GT, 1979, J CLIN PSYCHOL, V35, P85, DOI 10.1002/1097-4679(197901)35:1&lt;85::AID-JCLP2270350110&gt;3.0.CO;2-R; Rizopoulos D, 2006, J STAT SOFTW, V17; Robins RW, 2001, J RES PERS, V35, P463, DOI 10.1006/jrpe.2001.2324; Robitzsch A., 2020, **DATA OBJECT**; Rosseel Y, 2012, J STAT SOFTW, V48, P1, DOI 10.18637/jss.v048.i02; Salmela-Aro K, 2007, J ADOLESCENT RES, V22, P690, DOI 10.1177/0743558407303978; Samejima F, 1997, HDB MODERN ITEM RESP, P85, DOI [DOI 10.1007/978-1-4757-2691-6_5, 10.1007/978-1-4757-2691-6_5]; Schnell T, 2009, J POSIT PSYCHOL, V4, P483, DOI 10.1080/17439760903271074; Schulenberg SE., 2004, N AM J PSYCHOL, V6, P477; Schulenberg SE, 2016, J CLIN PSYCHOL, V72, P1279, DOI 10.1002/jclp.22240; Schulenberg SE, 2014, J HAPPINESS STUD, V15, P693, DOI 10.1007/s10902-013-9446-7; Schulenberg SE, 2011, J HAPPINESS STUD, V12, P861, DOI 10.1007/s10902-010-9231-9; Schulenberg SE, 2010, J HAPPINESS STUD, V11, P95, DOI 10.1007/s10902-008-9124-3; Schulenberg SE, 2008, PSYCHOTHERAPY, V45, P447, DOI 10.1037/a0014331; Schumacker RE., 2015, BEGINNERS GUIDE STRU, DOI [10.4324/9781315749105, DOI 10.4324/9781315749105]; SHEK DTL, 1988, J CLIN PSYCHOL, V44, P384, DOI 10.1002/1097-4679(198805)44:3&lt;384::AID-JCLP2270440312&gt;3.0.CO;2-1; Shuv-Ami A, 2021, J HAPPINESS STUD, V22, P625, DOI 10.1007/s10902-020-00244-6; Simkin H, 2018, ESTUD PSICOL-MADRID, V39, P104, DOI 10.1080/02109395.2017.1407903; Singh K, 2016, MENT HEALTH RELIG CU, V19, P448, DOI 10.1080/13674676.2016.1189759; Steger MF, 2006, J COUNS PSYCHOL, V53, P80, DOI 10.1037/0022-0167.53.1.80; Steger MF, 2008, J RES PERS, V42, P660, DOI 10.1016/j.jrp.2007.09.003; Steger MF, 2008, J PERS, V76, P199, DOI 10.1111/j.1467-6494.2007.00484.x; Steger MF, 2006, J PERS ASSESS, V86, P263, DOI 10.1207/s15327752jpa8603_03; Steger MF, 2009, J POSIT PSYCHOL, V4, P43, DOI 10.1080/17439760802303127; Stoyles G, 2015, J SPIRITUAL MENT HE, V17, P119, DOI 10.1080/19349637.2015.985558; Temane L, 2014, J PSYCHOL AFR, V24, P51, DOI 10.1080/14330237.2014.904088; Thomas ML, 2019, PSYCHOL ASSESSMENT, V31, P1442, DOI 10.1037/pas0000597; Thomas ML, 2011, ASSESSMENT, V18, P291, DOI 10.1177/1073191110374797; van de Schoot R, 2012, EUR J DEV PSYCHOL, V9, P486, DOI 10.1080/17405629.2012.686740; van de Vijver FJK, 2013, AM PSYCHOL, V68, P761, DOI 10.1037/a0033762; Veenhoven R, 1996, SOC INDIC RES, V37, P1, DOI 10.1007/BF00300268; Viladrich C, 2017, AN PSICOL-SPAIN, V33, P755, DOI 10.6018/analesps.33.3.268401; Vogel DL, 2013, J COUNS PSYCHOL, V60, P303, DOI 10.1037/a0032055; Wang ZZ, 2016, J RELIG HEALTH, V55, P1055, DOI 10.1007/s10943-016-0184-0; Waytz A, 2015, J PERS SOC PSYCHOL, V108, P336, DOI 10.1037/a0038322; Weber MC, 2020, TRAUMATOLOGY, V26, P266, DOI 10.1037/trm0000210; Weziak-Bialowolska D, 2019, FRONT PSYCHOL, V10, DOI 10.3389/fpsyg.2019.01269; Wong P. T. P., 2016, LOGOTHERAPY EXISTENT, V1, P311, DOI DOI 10.1007/978-3-319-29424-7_27; Yalcin I, 2015, J HAPPINESS STUD, V16, P915, DOI 10.1007/s10902-014-9540-5; Yazici Celebi G., 2020, IBAD J SOCIAL SCI, V8, P471, DOI [10.34084/bshr.715153, DOI 10.21733/IBAD.737406]; Zhang LF, 2021, CURR PSYCHOL, DOI 10.1007/s12144-021-02356-5; Zhang X, 2009, AGING MENT HEALTH, V13, P336, DOI 10.1080/13607860802459815; Zickar MJ, 2002, PERS INDIV DIFFER, V33, P11, DOI 10.1016/S0191-8869(01)00131-3; Ziegler M, 2015, EUR J PSYCHOL ASSESS, V31, P231, DOI 10.1027/1015-5759/a000309</t>
  </si>
  <si>
    <t>1046-1310</t>
  </si>
  <si>
    <t>1936-4733</t>
  </si>
  <si>
    <t>CURR PSYCHOL</t>
  </si>
  <si>
    <t>Curr. Psychol.</t>
  </si>
  <si>
    <t>2022 JUL 28</t>
  </si>
  <si>
    <t>10.1007/s12144-022-03465-5</t>
  </si>
  <si>
    <t>3F9JQ</t>
  </si>
  <si>
    <t>Green Published, Bronze</t>
  </si>
  <si>
    <t>WOS:000830976700002</t>
  </si>
  <si>
    <t>Ortega, L; Miller, J; Araguas-Araguas, L; Zabala, ME; Vives, L; Mira, A; Rodriguez, L; Heredia, J; Armengol, S; Manzano, M</t>
  </si>
  <si>
    <t>Ortega, L.; Miller, J.; Araguas-Araguas, L.; Zabala, M. E.; Vives, L.; Mira, A.; Rodriguez, L.; Heredia, J.; Armengol, S.; Manzano, M.</t>
  </si>
  <si>
    <t>Unravelling groundwater and surface water sources in the Esteros del Ibera Wetland Area: An isotopic approach</t>
  </si>
  <si>
    <t>SCIENCE OF THE TOTAL ENVIRONMENT</t>
  </si>
  <si>
    <t>Guarani Aquifer System; Iber? Wetlands; Argentina; Water sources; Rn-222; delta O-18 and delta H-2; EMMA</t>
  </si>
  <si>
    <t>GUARANI AQUIFER SYSTEM; SOUTH-AMERICA; IDENTIFY; RN-222; MANAGEMENT; RADON; RATIO; FLOW</t>
  </si>
  <si>
    <t>In the Esteros del Ibera Wetland Area (EIWA, NE Argentina), the southern sector of the transboundary Guarani Aquifer System (SAG) is overlain by the Ramsar listed Ibera Wetlands and several rivers, that combined extend across 37,930 km(2) and represent one of the largest freshwater systems on the South American continent. Previous hydrogeological studies encompassing the entire SAG proposed preferential discharge of groundwater of various origins and ages to the EIWA. In this study, a multi-tracer study using major ionic species, delta O-18, delta H-2 and Rn-222 was conducted in lagoons, rivers, wells, and boreholes in the EIWA to confirm if discharge from the transboundary SAG is contributing to the sur-face water system. End-member Mixing Analysis (EMMA) determined the existence of four main end-members: groundwater from the SAG, more saline groundwater from the deeper Pre-SAG, and two poorly mineralised end -members from shallow, Post-SAG. EMMA calculations clearly illustrated complex binary and ternary mixing patterns involving the four end-members and highlighted the role of geological structures, specifically regional steep faults, in controlling the mixing patterns. Rn-222 activities allowed in-situ identification of preferential deep groundwater dis-charge into both surface waters and shallow groundwaters. These findings provide strong evidence for the widespread existence of upward flows along major faults in this sector of the SAG, inducing complex mixing flow patterns and explaining the presence of old groundwater in shallow aquifers. Mapping the sources of water and the hydrological interactions are relevant for improving water balance estimates and develop management policies towards the preservation of these wetlands.</t>
  </si>
  <si>
    <t>[Ortega, L.; Manzano, M.] Univ Politecn Cartagena UPTC, Escuela Ingn Caminos Canales &amp; Puertos &amp; Ingn Mina, Cartagena, Spain; [Ortega, L.; Miller, J.; Araguas-Araguas, L.] Int Atom Energy Agcy IAEA, Vienna, Austria; [Zabala, M. E.] Consejo Nacl Invest Cient &amp; Tecn CONICET, Buenos Aires, Argentina; [Zabala, M. E.; Vives, L.; Mira, A.] Inst Hidrol Llanuras Dr Eduardo Jorge Usunoff IHLL, Azul, Buenos Aires, Argentina; [Mira, A.; Heredia, J.] Inst Geol &amp; Minero Espana IGME, Madrid, Spain; [Rodriguez, L.] Univ Nacl Litoral, Fac Ingn &amp; Ciencias Hidr, Santa Fe, Argentina; [Armengol, S.] Univ Calif Riverside, Dept Environm Sci, Riverside, CA USA</t>
  </si>
  <si>
    <t>International Atomic Energy Agency; Consejo Nacional de Investigaciones Cientificas y Tecnicas (CONICET); National University of the Littoral; University of California System; University of California Riverside</t>
  </si>
  <si>
    <t>Ortega, L (corresponding author), Int Atom Energy Agcy IAEA, Vienna, Austria.</t>
  </si>
  <si>
    <t>l.ortega@iaea.org</t>
  </si>
  <si>
    <t>Armengol, Sandra/0000-0003-2251-9658</t>
  </si>
  <si>
    <t>Ministry of Economy and Competitiveness of Spain; MICINN-REDESAC [CGL2009-2910-CO3]; Ministry of Science, Technology and Productive Innovation of Argentina [2008/2071]</t>
  </si>
  <si>
    <t>Ministry of Economy and Competitiveness of Spain(Spanish Government); MICINN-REDESAC; Ministry of Science, Technology and Productive Innovation of Argentina</t>
  </si>
  <si>
    <t>The data from various projects between 2009 and 2015: International Atomic Energy Agency, project The role of wetlands and rivers in the discharge of groundwater from the Guarani aquifer in NE Argentina; Ministry of Economy and Competitiveness of Spain, MICINN-REDESAC project CGL2009-2910-CO3, Aquifer recharge and discharge processes; and Ministry of Science, Technology and Productive Innovation of Argentina (PICT project 2008/2071). The authors would like to thank the comments and corrections of two anonymous reviewers that contributed greatly to improve the manuscript.</t>
  </si>
  <si>
    <t>Araujo LM, 1999, HYDROGEOL J, V7, P317, DOI 10.1007/s100400050205; Bai JH, 2013, SCI WORLD J, DOI 10.1155/2013/523632; Bam E.K., 2018, THESIS U SASKATCHEWA; Barbier EB, 2011, HYDROLOG SCI J, V56, P1360, DOI 10.1080/02626667.2011.629787; Beck HE, 2018, SCI DATA, V5, DOI [10.1038/s41597-018-0002-5, 10.1038/sdata.2018.214, 10.1038/sdata.2018.173]; Bocanegra E, 2016, EPISODES, V39, P19, DOI 10.18814/epiiugs/2016/v39i1/89233; Bonotto DM, 2017, J ENVIRON RADIOACTIV, V166, P142, DOI 10.1016/j.jenvrad.2016.03.009; Bonotto DM, 2002, APPL RADIAT ISOTOPES, V57, P931, DOI 10.1016/S0969-8043(02)00230-0; Burnett WC, 2010, J HYDROL, V380, P298, DOI 10.1016/j.jhydrol.2009.11.005; Busscher N, 2018, LAND USE POLICY, V78, P572, DOI 10.1016/j.landusepol.2018.07.024; Calcaterra LA, 2010, ANN ENTOMOL SOC AM, V103, P71, DOI 10.1603/008.103.0110; Camacho A., 2019, MANAGEMENT PROTECTIO, P136; Campos H.C.N.S., 2000, ESTUDOS TECNOLOGICOS, V4, P3; Canziani G., 2003, 18CT980262 ERB IC PR; Canziani GA, 2006, REG ENVIRON CHANGE, V6, P181, DOI 10.1007/s10113-006-0018-9; Carol E, 2013, WATER RESOUR MANAG, V27, P807, DOI 10.1007/s11269-012-0216-9; Carrera J, 2004, WATER RESOUR RES, V40, DOI 10.1029/2003WR002263; Clay A, 2004, HYDROL EARTH SYST SC, V8, P1164, DOI 10.5194/hess-8-1164-2004; Cook PG, 2008, J HYDROL, V354, P213, DOI 10.1016/j.jhydrol.2008.03.016; Cozar A, 2005, SCI TOTAL ENVIRON, V337, P281, DOI 10.1016/j.scitotenv.2004.07.014; *CQFS RS SC, 2004, MAN AD CAL EST RIO G; Custodio E., 2000, ACTA GEOL HUNGARICA, V43, P173; Davidson NC, 2014, MAR FRESHWATER RES, V65, P934, DOI 10.1071/MF14173; Ferrati R, 2005, ECOL MODEL, V186, P17, DOI 10.1016/j.ecolmodel.2005.01.019; Finch W.I., 1985, IAEATECDOC328, P11; Freitas M.A.D., 2016, THESIS; Gastmans D, 2016, J HYDROL, V535, P598, DOI 10.1016/j.jhydrol.2016.02.016; Gomes MS, 2021, WEATHER CLIM EXTREME, V34, DOI 10.1016/j.wace.2021.100404; Hiba J., 2022, NACION; Hirata R, 2021, Q J ENG GEOL HYDROGE, V54, DOI 10.1144/qjegh2020-091; IAEA/WMO, 2022, GLOB NETW IS PREC GN; Kingsford RT, 2000, AUSTRAL ECOL, V25, P109, DOI 10.1046/j.1442-9993.2000.01036.x; Lamontagne S, 2021, HYDROL PROCESS, V35, DOI 10.1002/hyp.14129; Low R, 1996, ENVIRON INT, V22, pS333, DOI 10.1016/S0160-4120(96)00127-4; Manzano M, 2012, BOL GEOL MIN, V123, P281; Manzano M., 2013, HIDROGEOLOGIA RECURS, VXXX, P953; Manzano M., 2015, MAIN HYDROGEO LOGICA, P48; Manzano M., 2007, INT S ADV IS HYDR IT, P149; Manzano M., 2009, HIDROQUIMICA REGIONA; Manzano M., 2011, GEOPH RES ABSTR, V13; Manzano M, 2005, INT ASSOC HYDROGEOL, V7, P209; Masson-Delmotte, 2021, CLIMATE CHANGE 2021, P3; Mira A, 2015, J S AM EARTH SCI, V62, P148, DOI 10.1016/j.jsames.2015.05.007; Mitsch William J., 2015, International Journal of Biodiversity Science Ecosystem Services &amp; Management, V11, P1, DOI 10.1080/21513732.2015.1006250; Mitsch WJ, 2000, ECOL ECON, V35, P25, DOI 10.1016/S0921-8009(00)00165-8; NASA, 2020, NASA EARTH OBSERVATO; OAS, 2009, GUAR AQ STRAT ACT PR, P224; Oiro S, 2018, HYDROLOG SCI J, V63, P862, DOI 10.1080/02626667.2018.1459625; Ortega L, 2017, SCI TOTAL ENVIRON, V599, P2105, DOI 10.1016/j.scitotenv.2017.04.056; Ortega L, 2015, CHEM GEOL, V395, P67, DOI 10.1016/j.chemgeo.2014.12.002; Parera A., 2011, INFORME AMBIENTAL AN, P295; Pelizardi F, 2017, J HYDROL, V550, P144, DOI 10.1016/j.jhydrol.2017.04.010; Rodellas V, 2012, J HYDROL, V466, P11, DOI 10.1016/j.jhydrol.2012.07.005; Rodriguez L, 2013, HYDROL EARTH SYST SC, V17, P295, DOI 10.5194/hess-17-295-2013; SMN-Servicio Meteorologico Nacional, 2021, REP EST CLIM ARG 202; Tubau I, 2014, SCI TOTAL ENVIRON, V470, P1120, DOI 10.1016/j.scitotenv.2013.10.121; Ubeda B, 2013, PLOS ONE, V8, DOI 10.1371/journal.pone.0067787; Valladares A.I., 2014, THESIS CORRIENTES; Vazquez-Sune E, 2010, HYDROL EARTH SYST SC, V14, P2085, DOI 10.5194/hess-14-2085-2010; Veroslavsky G, 2021, J S AM EARTH SCI, V106, DOI 10.1016/j.jsames.2020.102991; Vives L, 2020, ISOT ENVIRON HEALT S, V56, P533, DOI 10.1080/10256016.2020.1810684; Xi Y, 2021, NAT CLIM CHANGE, V11, P45, DOI 10.1038/s41558-020-00942-2</t>
  </si>
  <si>
    <t>0048-9697</t>
  </si>
  <si>
    <t>1879-1026</t>
  </si>
  <si>
    <t>SCI TOTAL ENVIRON</t>
  </si>
  <si>
    <t>Sci. Total Environ.</t>
  </si>
  <si>
    <t>NOV 10</t>
  </si>
  <si>
    <t>10.1016/j.scitotenv.2022.157475</t>
  </si>
  <si>
    <t>3V9RP</t>
  </si>
  <si>
    <t>WOS:000841995700004</t>
  </si>
  <si>
    <t>Kirkland, K; Van Lange, PAM; Van Doesum, NJ; Acevedo-Triana, C; Amiot, CE; Ausmees, L; Baguma, P; Barry, O; Becker, M; Bilewicz, M; Boonyasiriwat, W; Castelain, T; Costantini, G; Dimdins, G; Espinosa, A; Finchilescu, G; Fischer, R; Friese, M; Gomez, A; Gonzalez, R; Goto, N; Halama, P; Ilustrisimo, RD; Jiga-Boy, GM; Kuppens, P; Loughnan, S; Markovik, M; Mastor, KA; McLatchie, N; Novak, LM; Onyishi, IE; Peker, M; Rizwan, M; Schaller, M; Suh, EM; Swann, WB; Tong, EMW; Torres, A; Turner, RN; Vauclair, CM; Vinogradov, A; Wang, ZC; Yeung, VWL; Bastian, B</t>
  </si>
  <si>
    <t>Kirkland, Kelly; Van Lange, Paul A. M.; Van Doesum, Niels J.; Acevedo-Triana, Cesar; Amiot, Catherine E.; Ausmees, Liisi; Baguma, Peter; Barry, Oumar; Becker, Maja; Bilewicz, Michal; Boonyasiriwat, Watcharaporn; Castelain, Thomas; Costantini, Giulio; Dimdins, Girts; Espinosa, Agustin; Finchilescu, Gillian; Fischer, Ronald; Friese, Malte; Gomez, Angel; Gonzalez, Roberto; Goto, Nobuhiko; Halama, Peter; Ilustrisimo, Ruby D.; Jiga-Boy, Gabriela M.; Kuppens, Peter; Loughnan, Steve; Markovik, Marijana; Mastor, Khairul A.; McLatchie, Neil; Novak, Lindsay M.; Onyishi, Ike E.; Peker, Mujde; Rizwan, Muhammad; Schaller, Mark; Suh, Eunkook M.; Swann, William B., Jr.; Tong, Eddie M. W.; Torres, Ana; Turner, Rhiannon N.; Vauclair, Christin-Melanie; Vinogradov, Alexander; Wang, Zhechen; Yeung, Victoria Wai Lan; Bastian, Brock</t>
  </si>
  <si>
    <t>Social mindfulness predicts concern for nature and immigrants across 36 nations</t>
  </si>
  <si>
    <t>COOPERATION; DILEMMAS</t>
  </si>
  <si>
    <t>People cooperate every day in ways that range from largescale contributions that mitigate climate change to simple actions such as leaving another individual with choice - known as social mindfulness. It is not yet clear whether and how these complex and more simple forms of cooperation relate. Prior work has found that countries with individuals who made more socially mindful choices were linked to a higher country environmental performance - a proxy for complex cooperation. Here we replicated this initial finding in 41 samples around the world, demonstrating the robustness of the association between social mindfulness and environmental performance, and substantially built on it to show this relationship extended to a wide range of complex cooperative indices, tied closely to many current societal issues. We found that greater social mindfulness expressed by an individual was related to living in countries with more social capital, more community participation and reduced prejudice towards immigrants. Our findings speak to the symbiotic relationship between simple and more complex forms of cooperation in societies.</t>
  </si>
  <si>
    <t>[Kirkland, Kelly; Bastian, Brock] Univ Melbourne, Melbourne Sch Psychol Sci, Melbourne, Vic, Australia; [Van Lange, Paul A. M.] Vrije Univ Amsterdam, Dept Expt &amp; Appl Psychol, Amsterdam, Netherlands; [Van Doesum, Niels J.] Leiden Univ, Social Econ &amp; Org Psychol, Leiden, Netherlands; [Acevedo-Triana, Cesar] Univ Pedag &amp; Tecnol Colombia, Sch Psychol, Tunja, Colombia; [Amiot, Catherine E.] Univ Quebec Montreal, Dept Psychol, Montreal, PQ, Canada; [Ausmees, Liisi] Univ Tartu, Inst Psychol, Tartu, Estonia; [Baguma, Peter] Makerere Univ, Dept Educ Org &amp; Social Psychol, Kampala, Uganda; [Barry, Oumar] Cheikh Anta Diop Univ, Dept Psychol, Dakar, Senegal; [Becker, Maja] Univ Toulouse, CNRS, CLLE, Toulouse, France; [Bilewicz, Michal] Univ Warsaw, Fac Psychol, Warsaw, Poland; [Boonyasiriwat, Watcharaporn] Chulalongkorn Univ, Fac Psychol, Bangkok, Thailand; [Castelain, Thomas] Univ Girona, Dept Psychol, Gi, Girona, Spain; [Costantini, Giulio] Univ Milano Bicocca, Dept Psychol, Milan, Italy; [Dimdins, Girts] Univ Latvia, Dept Psychol, Riga, Latvia; [Espinosa, Agustin] Pontificia Univ Catolica Peru, Dept Acad Psicol, Lima, Peru; [Finchilescu, Gillian] Univ Witwatersrand, Psychol Dept, Johannesburg, South Africa; [Fischer, Ronald] Victoria Univ Wellington, Sch Psychol, Wellington, New Zealand; [Friese, Malte] Saarland Univ, Dept Psychol, Saarbrucken, Germany; [Gomez, Angel] Univ Nacl Educ Distancia, Fac Psicol, UNED, Madrid, Spain; [Gonzalez, Roberto] Pontificia Univ Catolica Chile, Escuela Psicol, Santiago, Chile; [Goto, Nobuhiko] Hitotsubashi Univ, Grad Sch Social Sci, Kunitachi, Tokyo, Japan; [Halama, Peter] Slovak Acad Sci, Ctr Social &amp; Psychol Sci, Bratislava, Slovakia; [Ilustrisimo, Ruby D.] Univ San Carlos, Dept Psychol, Cebu, Philippines; [Jiga-Boy, Gabriela M.] Swansea Univ, Sch Psychol, Swansea, W Glam, Wales; [Kuppens, Peter] Katholieke Univ Leuven, Fac Psychol &amp; Educ Sci, Leuven, Belgium; [Loughnan, Steve] Univ Edinburgh, Sch Philosophy Psychol &amp; Language Sci, Edinburgh, Midlothian, Scotland; [Markovik, Marijana] Ss Cyril &amp; Methodius Univ Skopje, Inst Sociol Polit &amp; Jurid Res, Skopje, North Macedonia; [Mastor, Khairul A.] Univ Kebangsaan Malaysia, Sch Liberal Studies, Bangi, Malaysia; [McLatchie, Neil] Univ Lancaster, Fac Sci &amp; Technol, Lancaster, England; [Novak, Lindsay M.] Univ Illinois, Dept Psychol, Chicago, IL 60680 USA; [Onyishi, Ike E.] Univ Nigeria, Sch Psychol, Nsukka, Nigeria; [Peker, Mujde] MEF Univ, Dept Psychol, Istanbul, Turkey; [Rizwan, Muhammad] Univ Haripur, Dept Psychol, Haripur, Pakistan; [Schaller, Mark] Univ British Columbia, Dept Psychol, Vancouver, BC, Canada; [Suh, Eunkook M.] Yonsei Univ, Dept Psychol, Seoul, South Korea; [Swann, William B., Jr.] Univ Texas Austin, Dept Psychol, Austin, TX 78712 USA; [Tong, Eddie M. W.] Natl Univ Singapore, Dept Psychol, Singapore, Singapore; [Torres, Ana] Univ Fed Paraiba, Dept Psicol, Joao Pessoa, Paraiba, Brazil; [Turner, Rhiannon N.] Queens Univ Belfast, Sch Psychol, Belfast, Antrim, North Ireland; [Vauclair, Christin-Melanie] Inst Univ Lisboa ISCTE IUL, Dept Social &amp; Org Psychol, CIS IUL, Lisbon, Portugal; [Vinogradov, Alexander] Taras Shevchenko Natl Univ Kyiv, Fac Psychol, Kiev, Ukraine; [Wang, Zhechen] Fudan Univ, Dept Psychol, Shanghai, Peoples R China; [Yeung, Victoria Wai Lan] Lingnan Univ, Dept Appl Psychol, Tuen Mun, Hong Kong, Peoples R China</t>
  </si>
  <si>
    <t>University of Melbourne; Vrije Universiteit Amsterdam; Leiden University; Leiden University - Excl LUMC; Universidad Pedagogica y Tecnologica de Colombia (UPTC); University of Quebec; University of Quebec Montreal; University of Tartu; Makerere University; University Cheikh Anta Diop Dakar; Centre National de la Recherche Scientifique (CNRS); Universite de Toulouse; University of Warsaw; Chulalongkorn University; Universitat de Girona; University of Milano-Bicocca; University of Latvia; Pontificia Universidad Catolica del Peru; University of Witwatersrand; Victoria University Wellington; Saarland University; Universidad Nacional de Educacion a Distancia (UNED); Pontificia Universidad Catolica de Chile; Hitotsubashi University; Slovak Academy of Sciences; University of San Carlos; Swansea University; KU Leuven; University of Edinburgh; Saints Cyril &amp; Methodius University of Skopje; Universiti Kebangsaan Malaysia; N8 Research Partnership; Lancaster University; University of Illinois System; University of Illinois Chicago; University of Illinois Chicago Hospital; University of Nigeria; MEF Universitesi; University of British Columbia; Yonsei University; University of Texas System; University of Texas Austin; National University of Singapore; Universidade Federal da Paraiba; Queens University Belfast; Instituto Universitario de Lisboa; Ministry of Education &amp; Science of Ukraine; Taras Shevchenko National University Kiev; Fudan University; Lingnan University</t>
  </si>
  <si>
    <t>Kirkland, K (corresponding author), Univ Melbourne, Melbourne Sch Psychol Sci, Melbourne, Vic, Australia.</t>
  </si>
  <si>
    <t>kelly.kirkland@unimelb.edu.au</t>
  </si>
  <si>
    <t>Halama, Peter/D-7537-2011; Vinogradov, Alexander/K-1250-2018; Wang, Zhechen/H-6540-2015; Costantini, Giulio/F-3829-2018; Amiot, Catherine/GQP-2466-2022; Fischer, Ronald/G-6447-2017; Yeung, Victoria/P-9054-2018</t>
  </si>
  <si>
    <t>Halama, Peter/0000-0002-6938-4845; Vinogradov, Alexander/0000-0003-1250-3863; Costantini, Giulio/0000-0001-6610-5452; Fischer, Ronald/0000-0002-3055-3955; Yeung, Victoria/0000-0002-3479-3198; Acevedo-Triana, Cesar/0000-0002-1296-9957; Van Lange, Paul/0000-0001-7774-6984</t>
  </si>
  <si>
    <t>Australian Research Council (ARC) [DP200101446]; Philip Leverhulme Prize; Fund for Research on Health - Quebec (FRQS) [268393]; Center for Social Conflict and Cohesion Studies [ANID/FONDAP 15130009]; Fondecyt Program (ANID/Fondecyt) [1201788]; Spanish Ministry of Science and Innovation [PID2021-124617OB-I00]; ERC [101018172]; China Postdoctoral Science Foundation fellowship [2021M690681]; JSPS KAKENHI [19KK0063]; Latvian Council of Science [lzp-2018/1-0402]; Polish National Science Center Grant Sonata Bis [UMO-2017/26/E/HS6/00129]; Center for Intercultural and Indigenous Research [ANID/FONDAP 15110006]; Australian Research Council [DP200101446] Funding Source: Australian Research Council</t>
  </si>
  <si>
    <t>Australian Research Council (ARC)(Australian Research Council); Philip Leverhulme Prize; Fund for Research on Health - Quebec (FRQS); Center for Social Conflict and Cohesion Studies; Fondecyt Program (ANID/Fondecyt); Spanish Ministry of Science and Innovation(Ministry of Science and Innovation, Spain (MICINN)Spanish Government); ERC(European Research Council (ERC)European Commission); China Postdoctoral Science Foundation fellowship; JSPS KAKENHI(Ministry of Education, Culture, Sports, Science and Technology, Japan (MEXT)Japan Society for the Promotion of ScienceGrants-in-Aid for Scientific Research (KAKENHI)); Latvian Council of Science(Latvian Ministry of Education and Science); Polish National Science Center Grant Sonata Bis; Center for Intercultural and Indigenous Research; Australian Research Council(Australian Research Council)</t>
  </si>
  <si>
    <t>Brock Bastian was supported by the Australian Research Council (ARC) (grant number DP200101446), Steve Loughnan was supported by the Philip Leverhulme Prize, Catherine Amiot was supported by a Senior Fellowship from the Fund for Research on Health - Quebec (FRQS: no. 268393), Roberto Gonzalez was supported by the Center for Social Conflict and Cohesion Studies (ANID/FONDAP 15130009), the Center for Intercultural and Indigenous Research (ANID/FONDAP 15110006) and the Fondecyt Program (ANID/Fondecyt 1201788), angel Gomez was supported by the Spanish Ministry of Science and Innovation (PID2021-124617OB-I00) and by the ERC Grant agreement no: 101018172, Zhechen Wang was supported by the China Postdoctoral Science Foundation fellowship (2021M690681), Nobuhiko Goto was supported by the JSPS KAKENHI (grant number 19KK0063), Girts Dimdins was supported by the Latvian Council of Science (grant number lzp-2018/1-0402), and Michal Bilewicz was supported by the Polish National Science Center Grant Sonata Bis (grant number UMO-2017/26/E/HS6/00129).</t>
  </si>
  <si>
    <t>[Anonymous], 2019, COMPUT FRAUD SECUR, P4; [Anonymous], 2019, US NEWS; Armstrong RA, 2014, OPHTHAL PHYSL OPT, V34, P502, DOI 10.1111/opo.12131; Bates D, 2015, J STAT SOFTW, V67, P1, DOI 10.18637/jss.v067.i01; COLEMAN JS, 1988, AM J SOCIOL, V94, pS95, DOI 10.1086/228943; Crimston D, 2016, J PERS SOC PSYCHOL, V111, P636, DOI 10.1037/pspp0000086; Engel C, 2021, JUDGM DECIS MAK, V16, P290; European Values Study (EVS), 2020, GESIS, V4.0.0, DOI [10.4232/1.13511, 10.4232/1.13560]; Global Sustainable Competitiveness Index, 2020, SOC CAP IND WORLD MA; Goodman E, 2001, PEDIATRICS, V108, DOI 10.1542/peds.108.2.e31; Harari Y. N., 2015, SAPIENS BRIEF HIST H; Henrich J, 2010, BEHAV BRAIN SCI, V33, P61, DOI 10.1017/S0140525X0999152X; Henrich J, 2010, SCIENCE, V327, P1480, DOI 10.1126/science.1182238; Hofstede Insights, 2020, COMP COUNTR; Inglehart R., 2014, WORLD VALUES SURVEY, DOI 10.14281/18241.1; Jetten J, 2015, PLOS ONE, V10, DOI 10.1371/journal.pone.0139156; Kaufmann D., 2019, WORLDWIDE GOVERNANCE; Kirkland K, 2022, SOC PSYCHOL PERS SCI, DOI 10.1177/19485506221101767; Lampridis E, 2017, INT J ADOLESC YOUTH, V22, P268, DOI 10.1080/02673843.2014.890114; Manesi Z, 2019, PERS INDIV DIFFER, V146, P217, DOI 10.1016/j.paid.2018.03.024; MILLER JG, 1994, PERS SOC PSYCHOL B, V20, P592, DOI 10.1177/0146167294205015; Mischkowski D, 2018, J EXP SOC PSYCHOL, V74, P85, DOI 10.1016/j.jesp.2017.09.001; Ortiz-Ospina Esteban, 2016, INCOME INEQUALITY; Putnam RD, 2000, CULTURE AND POLITICS; Reporters Without Borders, 2019, WORLD PRESS FREED IN; Schwartz SH., 2012, ONLINE READ PSYCHOL, V2, P3; Singer P., 1981, EXPANDING CIRCLE ETH; Sprong S, 2019, PSYCHOL SCI, V30, P1625, DOI 10.1177/0956797619875472; Teymoori A, 2016, PLOS ONE, V11, DOI 10.1371/journal.pone.0158370; The Economist Intelligence Unit, 2019, ECONOMIST; The World Bank, 2020, GDP CAP CURR US; The World Bank, 2019, WORLDWIDE GOVERNANCE; The World Bank, 2019, GNI CAP ATL METH CUR; Van de Vliert E., PERSPECT PSYCHOL SCI; Van Doesum NJ, 2021, P NATL ACAD SCI USA, V118, DOI 10.1073/pnas.2023846118; Van Doesum NJ, 2020, J POSIT PSYCHOL, V15, P183, DOI 10.1080/17439760.2019.1579352; Van Doesum NJ, 2018, SOC INFLUENCE, V13, P209, DOI 10.1080/15534510.2018.1544589; Van Doesum NJ, 2013, J PERS SOC PSYCHOL, V105, P86, DOI 10.1037/a0032540; Van Lange PAM, 2022, ANNU REV PSYCHOL, V73, P379, DOI 10.1146/annurev-psych-020821-110044; Van Lange PAM, 2014, PLOS ONE, V9, DOI 10.1371/journal.pone.0093880; Van Lange PAM, 2013, ORGAN BEHAV HUM DEC, V120, P125, DOI 10.1016/j.obhdp.2012.11.003; Van Lange PAM, 2012, EUR J PERSONALITY, V26, P461, DOI 10.1002/per.845; von Hippel W., 2018, SOCIAL LEAP NEW EVOL; Wendling Z.A., 2020, ENV PERFORMANCE INDE, DOI DOI 10.13140/RG.2.2.21182.51529; World Factbook, 2018, DISTR FAM INC GIN IN; World Wildlife Fund, 2021, OUR PLAN IS WARM HER; Yamagishi T, 2011, SCI MIND, P1, DOI 10.1007/978-4-431-53936-0; Yuan ML, 2022, PSYCHOL BULL, V148, P129, DOI 10.1037/bul0000363</t>
  </si>
  <si>
    <t>DEC 21</t>
  </si>
  <si>
    <t>10.1038/s41598-022-25538-y</t>
  </si>
  <si>
    <t>9A5BH</t>
  </si>
  <si>
    <t>WOS:000934072600022</t>
  </si>
  <si>
    <t>Kirkland, K; Crimston, CR; Jetten, J; Rudnev, M; Acevedo-Triana, C; Amiot, CE; Ausmees, L; Baguma, P; Barry, O; Becker, M; Bilewicz, M; Boonyasiriwat, W; Castelain, T; Costantini, G; Dimdins, G; Espinosa, A; Finchilescu, G; Fischer, R; Friese, M; Gastardo-Conaco, MC; Gomez, A; Gonzalez, R; Goto, N; Halama, P; Jiga-Boy, GM; Kuppens, P; Loughnan, S; Markovik, M; Mastor, KA; McLatchie, N; Novak, LM; Onyekachi, BN; Peker, M; Rizwan, M; Schaller, M; Suh, EM; Talaifar, S; Tong, EMW; Torres, A; Turner, RN; Van Lange, PAM; Vauclair, CM; Vinogradov, A; Wang, ZC; Yeung, VWL; Bastian, B</t>
  </si>
  <si>
    <t>Kirkland, Kelly; Crimston, Charlie R.; Jetten, Jolanda; Rudnev, Maksim; Acevedo-Triana, Cesar; Amiot, Catherine E.; Ausmees, Liisi; Baguma, Peter; Barry, Oumar; Becker, Maja; Bilewicz, Michal; Boonyasiriwat, Watcharaporn; Castelain, Thomas; Costantini, Giulio; Dimdins, Girts; Espinosa, Agustin; Finchilescu, Gillian; Fischer, Ronald; Friese, Malte; Gastardo-Conaco, Maria Cecilia; Gomez, Angel; Gonzalez, Roberto; Goto, Nobuhiko; Halama, Peter; Jiga-Boy, Gabriela M.; Kuppens, Peter; Loughnan, Steve; Markovik, Marijana; Mastor, Khairul A.; McLatchie, Neil; Novak, Lindsay M.; Onyekachi, Blessing N.; Peker, Mujde; Rizwan, Muhammad; Schaller, Mark; Suh, Eunkook M.; Talaifar, Sanaz; Tong, Eddie M. W.; Torres, Ana; Turner, Rhiannon N.; Van Lange, Paul A. M.; Vauclair, Christin-Melanie; Vinogradov, Alexander; Wang, Zhechen; Yeung, Victoria Wai Lan; Bastian, Brock</t>
  </si>
  <si>
    <t>Moral Expansiveness Around the World: The Role of Societal Factors Across 36 Countries</t>
  </si>
  <si>
    <t>SOCIAL PSYCHOLOGICAL AND PERSONALITY SCIENCE</t>
  </si>
  <si>
    <t>moral circles; moral expansiveness; economic inequality; trust; anomie</t>
  </si>
  <si>
    <t>INCOME INEQUALITY; GENERALIZED TRUST; ASSOCIATION; HEALTH</t>
  </si>
  <si>
    <t>What are the things that we think matter morally, and how do societal factors influence this? To date, research has explored several individual-level and historical factors that influence the size of our 'moral circles.' There has, however, been less attention focused on which societal factors play a role. We present the first multi-national exploration of moral expansiveness-that is, the size of people's moral circles across countries. We found low generalized trust, greater perceptions of a breakdown in the social fabric of society, and greater perceived economic inequality were associated with smaller moral circles. Generalized trust also helped explain the effects of perceived inequality on lower levels of moral inclusiveness. Other inequality indicators (i.e., Gini coefficients) were, however, unrelated to moral expansiveness. These findings suggest that societal factors, especially those associated with generalized trust, may influence the size of our moral circles.</t>
  </si>
  <si>
    <t>[Kirkland, Kelly; Bastian, Brock] Univ Melbourne, Melbourne, Vic, Australia; [Crimston, Charlie R.; Jetten, Jolanda] Univ Queensland, Brisbane, Qld, Australia; [Rudnev, Maksim] HSE Univ, Lab Comparat Studies Mass Consciousness, Moscow, Russia; [Acevedo-Triana, Cesar] Univ Pedag &amp; Tecnol Colombia, Tunja, Colombia; [Amiot, Catherine E.] Univ Quebec Montreal, Montreal, PQ, Canada; [Ausmees, Liisi] Univ Tartu, Tartu, Estonia; [Baguma, Peter] Makerere Univ, Kampala, Uganda; [Barry, Oumar] Cheikh Anta Diop Univ, Dakar, Senegal; [Becker, Maja] Univ Toulouse, CNRS, Toulouse, France; [Bilewicz, Michal] Univ Warsaw, Psychol, Warsaw, Poland; [Boonyasiriwat, Watcharaporn] Chulalongkorn Univ, Social Psychol, Bangkok, Thailand; [Castelain, Thomas] Univ Girona, Girona, Spain; [Costantini, Giulio] Univ Milano Bicocca, Milan, Italy; [Dimdins, Girts] Univ Latvia, Social Psychol, Riga, Latvia; [Espinosa, Agustin] Pontifical Catholic Univ Peru, Social Psychol, Lima, Peru; [Finchilescu, Gillian] Univ Witwatersrand, Psychol Dept, Johannesburg, South Africa; [Fischer, Ronald] Victoria Univ Wellington, Psychol, Wellington, New Zealand; [Friese, Malte] Saarland Univ, Dept Psychol, Saarbrucken, Germany; [Gastardo-Conaco, Maria Cecilia] Univ Philippines Diliman, Quezon City, Philippines; [Gomez, Angel] Univ Nacl Educ Distancia UNED, Madrid, Spain; [Gonzalez, Roberto] Pontificia Univ Catolica Chile, Social Psychol, Santiago, Chile; [Goto, Nobuhiko] Hitotsubashi Univ, Tokyo, Japan; [Halama, Peter] Slovak Acad Sci, Ctr Social &amp; Psychol Sci, Bratislava, Slovakia; [Jiga-Boy, Gabriela M.] Swansea Univ, Psychol, Swansea, W Glam, Wales; [Kuppens, Peter] Katholieke Univ Leuven, Psychol, Leuven, Belgium; [Loughnan, Steve] Univ Edinburgh, Edinburgh, Midlothian, Scotland; [Markovik, Marijana] Ss Cyril &amp; Methodius Univ Skopje, Skopje, North Macedonia; [Mastor, Khairul A.] Univ Kebangsaan Malaysia, Sch Liberal Studies CITRA, Bangi, Malaysia; [McLatchie, Neil] Univ Lancaster, Psychol Dept, Social Proc Grp, Lancaster, England; [Novak, Lindsay M.] Univ Illinois, Chicago, IL 60680 USA; [Onyekachi, Blessing N.] Univ Nigeria, Social Psychol, Nsukka, Nigeria; [Peker, Mujde] MEF Univ, Istanbul, Turkey; [Rizwan, Muhammad] Univ Haripur, Haripur, Pakistan; [Schaller, Mark] Univ British Columbia, Psychol, Vancouver, BC, Canada; [Suh, Eunkook M.] Yonsei Univ, Seoul, South Korea; [Talaifar, Sanaz] Stanford Univ, Org Behav, Stanford, CA 94305 USA; [Tong, Eddie M. W.] Natl Univ Singapore, Singapore, Singapore; [Torres, Ana] Univ Fed Paraiba, Social Psychol, Joao Pessoa, Paraiba, Brazil; [Turner, Rhiannon N.] Queens Univ Belfast, Social Psychol, Belfast, Antrim, North Ireland; [Van Lange, Paul A. M.] Vrije Univ Amsterdam, Amsterdam, Netherlands; [Vauclair, Christin-Melanie] CIS IUL, Inst Univ Lisboa ISCTE IUL, Lisbon, Portugal; [Vinogradov, Alexander] Taras Shevchenko Natl Univ Kyiv, Kiev, Ukraine; [Wang, Zhechen] Fudan Univ, Shanghai, Peoples R China; [Yeung, Victoria Wai Lan] Lingnan Univ, Hong Kong, Peoples R China</t>
  </si>
  <si>
    <t>University of Melbourne; University of Queensland; HSE University (National Research University Higher School of Economics); Universidad Pedagogica y Tecnologica de Colombia (UPTC); University of Quebec; University of Quebec Montreal; University of Tartu; Makerere University; University Cheikh Anta Diop Dakar; Centre National de la Recherche Scientifique (CNRS); Universite de Toulouse; University of Warsaw; Chulalongkorn University; Universitat de Girona; University of Milano-Bicocca; University of Latvia; Pontificia Universidad Catolica del Peru; University of Witwatersrand; Victoria University Wellington; Saarland University; University of the Philippines System; University of the Philippines Diliman; Universidad Nacional de Educacion a Distancia (UNED); Pontificia Universidad Catolica de Chile; Hitotsubashi University; Slovak Academy of Sciences; Swansea University; KU Leuven; University of Edinburgh; Saints Cyril &amp; Methodius University of Skopje; Universiti Kebangsaan Malaysia; N8 Research Partnership; Lancaster University; University of Illinois System; University of Illinois Chicago; University of Illinois Chicago Hospital; University of Nigeria; MEF Universitesi; University of British Columbia; Yonsei University; Stanford University; National University of Singapore; Universidade Federal da Paraiba; Queens University Belfast; Vrije Universiteit Amsterdam; Instituto Universitario de Lisboa; Ministry of Education &amp; Science of Ukraine; Taras Shevchenko National University Kiev; Fudan University; Lingnan University</t>
  </si>
  <si>
    <t>Kirkland, K (corresponding author), Univ Melbourne, Melbourne Sch Psychol Sci, Melbourne, Vic 3010, Australia.</t>
  </si>
  <si>
    <t>Costantini, Giulio/F-3829-2018; Vinogradov, Alexander/K-1250-2018; Gómez, Ángel/C-6108-2011; Wang, Zhechen/AEU-1735-2022; Espinosa, Agustín/L-1449-2014; Fischer, Ronald/G-6447-2017; Amiot, Catherine/GQP-2466-2022; Friese, Malte/A-3788-2016; Castelain, Thomas/AGZ-3927-2022; Goto, Nobuhiko/AGI-0388-2022; Halama, Peter/D-7537-2011; Yeung, Victoria/P-9054-2018</t>
  </si>
  <si>
    <t>Costantini, Giulio/0000-0001-6610-5452; Vinogradov, Alexander/0000-0003-1250-3863; Gómez, Ángel/0000-0002-4287-4916; Wang, Zhechen/0000-0002-9071-2348; Espinosa, Agustín/0000-0002-2275-5792; Fischer, Ronald/0000-0002-3055-3955; Friese, Malte/0000-0003-0055-513X; Castelain, Thomas/0000-0001-9415-1771; Goto, Nobuhiko/0000-0003-2675-5164; Halama, Peter/0000-0002-6938-4845; Yeung, Victoria/0000-0002-3479-3198; Rudnev, Maksim/0000-0002-2714-3840; Acevedo-Triana, Cesar/0000-0002-1296-9957; Kirkland, Kelly/0000-0001-7286-6506; Van Lange, Paul/0000-0001-7774-6984; Talaifar, Sanaz/0000-0002-4918-9575; Crimston, Charlie/0000-0002-4529-786X; Becker, Maja/0000-0003-1187-1699</t>
  </si>
  <si>
    <t>Australian Research Council (ARC) [DP200101446]; Center for Social Conflict and Cohesion Studies [ANID/FONDAP 15130009]; JSPS KAKENHI [19KK0063]; Latvian Council of Science [lzp2018/1-0402]; Polish National Science Center Grant Sonata Bis [UMO-2017/26/E/HS6/00129]; Basic Research Program at the National Research University Higher School of Economics (HSE University); Center for Intercultural and Indigenous Research [ANID/FONDAP 15110006]; Australian Research Council [DP200101446] Funding Source: Australian Research Council</t>
  </si>
  <si>
    <t>Australian Research Council (ARC)(Australian Research Council); Center for Social Conflict and Cohesion Studies; JSPS KAKENHI(Ministry of Education, Culture, Sports, Science and Technology, Japan (MEXT)Japan Society for the Promotion of ScienceGrants-in-Aid for Scientific Research (KAKENHI)); Latvian Council of Science(Latvian Ministry of Education and Science); Polish National Science Center Grant Sonata Bis; Basic Research Program at the National Research University Higher School of Economics (HSE University); Center for Intercultural and Indigenous Research; Australian Research Council(Australian Research Council)</t>
  </si>
  <si>
    <t>The author(s) disclosed receipt of the following financial support for the research, authorship, and/or publication of this article: Brock Bastian was supported by the Australian Research Council (ARC) (grant number DP200101446), Steve Loughnan was supported by the Philip Leverhulme Prize, Roberto Gonzalez was supported by the Center for Social Conflict and Cohesion Studies (ANID/FONDAP 15130009) and the Center for Intercultural and Indigenous Research (ANID/FONDAP 15110006), Nobuhiko Goto was supported by the JSPS KAKENHI (grant number 19KK0063), Girts Dimdins was supported by the Latvian Council of Science (grant number lzp2018/1-0402), Michal Bilewicz was supported by the Polish National Science Center Grant Sonata Bis (grant number UMO-2017/26/E/HS6/00129). and Maksim Rudnev was supported by a research project implemented as part of the Basic Research Program at the National Research University Higher School of Economics (HSE University).</t>
  </si>
  <si>
    <t>Bates D, 2015, J STAT SOFTW, V67, P1, DOI 10.18637/jss.v067.i01; Bloom P, 2010, NATURE, V464, P490, DOI 10.1038/464490a; Bryan ML, 2016, EUR SOCIOL REV, V32, P3, DOI 10.1093/esr/jcv059; Core Team R., 2013, R LANG ENV STAT COMP; Cote S, 2015, P NATL ACAD SCI USA, V112, P15838, DOI 10.1073/pnas.1511536112; Crimsto D, 2018, PLOS ONE, V13, DOI 10.1371/journal.pone.0205373; Crimston D, 2018, CURR DIR PSYCHOL SCI, V27, P14, DOI 10.1177/0963721417730888; Crimston D, 2016, J PERS SOC PSYCHOL, V111, P636, DOI 10.1037/pspp0000086; Elgar FJ, 2010, AM J PUBLIC HEALTH, V100, P2311, DOI 10.2105/AJPH.2009.189134; Frank MW., 2014, J BUSINESS STRATEGIE, V31, P241, DOI 10.54155/jbs.31.1.241-263; Glei DA, 2018, POPUL DEV REV, V44, P695, DOI 10.1111/padr.12183; Goodman E, 2001, PEDIATRICS, V108, DOI 10.1542/peds.108.2.e31; Graham J, 2011, J PERS SOC PSYCHOL, V101, P366, DOI 10.1037/a0021847; Hayes A, 2022, GINI INDEX; Henrich J, 2010, BEHAV BRAIN SCI, V33, P61, DOI 10.1017/S0140525X0999152X; Heydari A, 2014, SOC SCI INFORM, V53, P240, DOI 10.1177/0539018413517521; Jetten J, 2017, CURR OPIN PSYCHOL, V18, P1, DOI 10.1016/j.copsyc.2017.05.011; Knell M, 2020, EUR J POLIT ECON, V65, DOI 10.1016/j.ejpoleco.2020.101927; Legatum Institute, 2019, LEGATUM PROSPERITY I, V13th; Meyer C, 2015, P NATL ACAD SCI USA, V112, P11217, DOI 10.1073/pnas.1504365112; Na J, 2010, P NATL ACAD SCI USA, V107, P6192, DOI 10.1073/pnas.1001911107; Nannestad P, 2008, ANNU REV POLIT SCI, V11, P413, DOI 10.1146/annurev.polisci.11.060606.135412; Norton MI, 2011, PERSPECT PSYCHOL SCI, V6, P9, DOI 10.1177/1745691610393524; Oishi S, 2011, PSYCHOL SCI, V22, P1095, DOI 10.1177/0956797611417262; Oshio T, 2014, SOC INDIC RES, V116, P755, DOI 10.1007/s11205-013-0323-x; Phillips L.T., 2020, PREPRINT, DOI [10.31234/osf.io/vawh9, DOI 10.31234/OSF.IO/VAWH9]; Pinker S., 2011, BETTER ANGELS OUR NA; ROTTER JB, 1967, J PERS, V35, P651, DOI 10.1111/j.1467-6494.1967.tb01454.x; Rottman J, 2021, COGNITIVE SCI, V45, DOI 10.1111/cogs.12967; Rousseau DM, 1998, ACAD MANAGE REV, V23, P393, DOI 10.5465/AMR.1998.926617; Saladie P, 2017, J ARCHAEOL METHOD TH, V24, P1034, DOI 10.1007/s10816-016-9306-y; Sanchez-Rodriguez A, 2019, EUR J SOC PSYCHOL, V49, P1114, DOI 10.1002/ejsp.2557; Singer P., 1981, EXPANDING CIRCLE ETH; Singh-Manoux A, 2003, SOC SCI MED, V56, P1321, DOI 10.1016/S0277-9536(02)00131-4; Sprong S, 2019, PSYCHOL SCI, V30, P1625, DOI 10.1177/0956797619875472; Starmans C, 2017, NAT HUM BEHAV, V1, DOI 10.1038/s41562-017-0082; Teymoori A, 2017, POLIT PSYCHOL, V38, P1009, DOI 10.1111/pops.12377; The Economist Intelligence Unit, 2019, ECONOMIST; Umemura T, 2017, CESK PSYCHOL, V61, P433; United Nations Office on Drugs and Crime, 2019, VICT INT HOM 1990 20; Uslaner EM, 2005, AM POLIT RES, V33, P868, DOI 10.1177/1532673X04271903; Van Lange PAM, 2015, CURR DIR PSYCHOL SCI, V24, P71, DOI 10.1177/0963721414552473; Waytz A, 2019, NAT COMMUN, V10, DOI 10.1038/s41467-019-12227-0; Wilkinson R. G., 2009, SPIRIT LEVEL WHY MOR; Wilkinson RG, 2007, SOC SCI MED, V65, P1965, DOI 10.1016/j.socscimed.2007.05.041; World Bank, 2021, GDP CAP PPP CURR INT; WORLD BANK, 2019, GINI IND WORLD BANK</t>
  </si>
  <si>
    <t>SAGE PUBLICATIONS INC</t>
  </si>
  <si>
    <t>THOUSAND OAKS</t>
  </si>
  <si>
    <t>2455 TELLER RD, THOUSAND OAKS, CA 91320 USA</t>
  </si>
  <si>
    <t>1948-5506</t>
  </si>
  <si>
    <t>1948-5514</t>
  </si>
  <si>
    <t>SOC PSYCHOL PERS SCI</t>
  </si>
  <si>
    <t>Soc. Psychol. Personal Sci.</t>
  </si>
  <si>
    <t>2022 JUL 4</t>
  </si>
  <si>
    <t>10.1177/19485506221101767</t>
  </si>
  <si>
    <t>Psychology, Social</t>
  </si>
  <si>
    <t>2W8UV</t>
  </si>
  <si>
    <t>Green Submitted, Green Accepted</t>
  </si>
  <si>
    <t>WOS:000824794000001</t>
  </si>
  <si>
    <t>Zuidema, PA; Babst, F; Groenendijk, P; Trouet, V; Abiyu, A; Acuna-Soto, R; Adenesky, E; Alfaro-Sanchez, R; Aragao, JRV; Assis-Pereira, G; Bai, X; Barbosa, AC; Battipaglia, G; Beeckman, H; Botosso, PC; Bradley, T; Brauning, A; Brienen, R; Buckley, BM; Camarero, JJ; Carvalho, A; Ceccantini, G; Centeno-Erguera, LR; Cerano-Paredes, J; Chavez-Duran, AA; Cintra, BBL; Cleaveland, MK; Couralet, C; D'Arrigo, R; del Valle, JI; Dunisch, O; Enquist, BJ; Esemann-Quadros, K; Eshetu, Z; Fan, ZX; Ferrero, ME; Fichtler, E; Fontana, C; Francisco, KS; Gebrekirstos, A; Gloor, E; Granato-Souza, D; Haneca, K; Harley, GL; Heinrich, I; Helle, G; Inga, JG; Islam, M; Jiang, YM; Kaib, M; Khamisi, ZH; Koprowski, M; Kruijt, B; Layme, E; Leemans, R; Leffler, AJ; Lisi, CS; Loader, NJ; Locosselli, GM; Lopez, L; Lopez-Hernandez, MI; Lousada, JLPC; Mendivelso, HA; Mokria, M; Montoia, VR; Moors, E; Nabais, C; Ngoma, J; Nogueira, FD; Oliveira, JM; Olmedo, GM; Pagotto, MA; Panthi, S; Perez-De-Lis, G; Pucha-Cofrep, D; Pumijumnong, N; Rahman, M; Ramirez, JA; Requena-Rojas, EJ; Ribeiro, AD; Robertson, I; Roig, FA; Rubio-Camacho, EA; Sass-Klaassen, U; Schongart, J; Sheppard, PR; Slotta, F; Speer, JH; Therrell, MD; Toirambe, B; Tomazello, M; Torbenson, MCA; Touchan, R; Venegas-Gonzalez, A; Villalba, R; Villanueva-Diaz, J; Vinya, R; Vlam, M; Wils, T; Zhou, ZK</t>
  </si>
  <si>
    <t>Zuidema, Pieter A.; Babst, Flurin; Groenendijk, Peter; Trouet, Valerie; Abiyu, Abrham; Acuna-Soto, Rodolfo; Adenesky-Filho, Eduardo; Alfaro-Sanchez, Raquel; Vieira Aragao, Jose Roberto; Assis-Pereira, Gabriel; Bai, Xue; Barbosa, Ana Carolina; Battipaglia, Giovanna; Beeckman, Hans; Botosso, Paulo Cesar; Bradley, Tim; Braeuning, Achim; Brienen, Roel; Buckley, Brendan M.; Julio Camarero, J.; Carvalho, Ana; Ceccantini, Gregorio; Centeno-Erguera, Librado R.; Cerano-Paredes, Julian; Agustin Chavez-Duran, Alvaro; Ladvocat Cintra, Bruno Barcante; Cleaveland, Malcolm K.; Couralet, Camille; D'Arrigo, Rosanne; Ignacio del Valle, Jorge; Duenisch, Oliver; Enquist, Brian J.; Esemann-Quadros, Karin; Eshetu, Zewdu; Fan, Ze-Xin; Eugenia Ferrero, M.; Fichtler, Esther; Fontana, Claudia; Francisco, Kainana S.; Gebrekirstos, Aster; Gloor, Emanuel; Granato-Souza, Daniela; Haneca, Kristof; Harley, Grant Logan; Heinrich, Ingo; Helle, Gerd; Inga, Janet G.; Islam, Mahmuda; Jiang, Yu-mei; Kaib, Mark; Khamisi, Zakia Hassan; Koprowski, Marcin; Kruijt, Bart; Layme, Eva; Leemans, Rik; Leffler, A. Joshua; Sergio Lisi, Claudio; Loader, Neil J.; Locosselli, Giuliano Maselli; Lopez, Lidio; Lopez-Hernandez, Maria, I; Penetra Cerveira Lousada, Jose Luis; Mendivelso, Hooz A.; Mokria, Mulugeta; Montoia, Valdinez Ribeiro; Moors, Eddy; Nabais, Cristina; Ngoma, Justine; Nogueira Junior, Francisco de Carvalho; Oliveira, Juliano Morales; Olmedo, Gabriela Morais; Pagotto, Mariana Alves; Panthi, Shankar; Perez-De-Lis, Gonzalo; Pucha-Cofrep, Darwin; Pumijumnong, Nathsuda; Rahman, Mizanur; Andres Ramirez, Jorge; Jimmy Requena-Rojas, Edilson; Ribeiro, Adauto de Souza; Robertson, Iain; Alejandro Roig, Fidel; Alonso Rubio-Camacho, Ernesto; Sass-Klaassen, Ute; Schongart, Jochen; Sheppard, Paul R.; Slotta, Franziska; Speer, James H.; Therrell, Matthew D.; Toirambe, Benjamin; Tomazello-Filho, Mario; Torbenson, Max C. A.; Touchan, Ramzi; Venegas-Gonzalez, Alejandro; Villalba, Ricardo; Villanueva-Diaz, Jose; Vinya, Royd; Vlam, Mart; Wils, Tommy; Zhou, Zhe-Kun</t>
  </si>
  <si>
    <t>Tropical tree growth driven by dry-season climate variability</t>
  </si>
  <si>
    <t>NATURE GEOSCIENCE</t>
  </si>
  <si>
    <t>INTERANNUAL VARIABILITY; RAIN-FOREST; SEMIARID ECOSYSTEMS; CARBON DYNAMICS; CO2; SENSITIVITY; SINK; PRODUCTIVITY; RESPONSES; FLUXES</t>
  </si>
  <si>
    <t>Dry-season climate variability is a primary driver of tropical tree growth, according to observations from a pantropical tree-ring network. Interannual variability in the global land carbon sink is strongly related to variations in tropical temperature and rainfall. This association suggests an important role for moisture-driven fluctuations in tropical vegetation productivity, but empirical evidence to quantify the responsible ecological processes is missing. Such evidence can be obtained from tree-ring data that quantify variability in a major vegetation productivity component: woody biomass growth. Here we compile a pantropical tree-ring network to show that annual woody biomass growth increases primarily with dry-season precipitation and decreases with dry-season maximum temperature. The strength of these dry-season climate responses varies among sites, as reflected in four robust and distinct climate response groups of tropical tree growth derived from clustering. Using cluster and regression analyses, we find that dry-season climate responses are amplified in regions that are drier, hotter and more climatically variable. These amplification patterns suggest that projected global warming will probably aggravate drought-induced declines in annual tropical vegetation productivity. Our study reveals a previously underappreciated role of dry-season climate variability in driving the dynamics of tropical vegetation productivity and consequently in influencing the land carbon sink.</t>
  </si>
  <si>
    <t>[Zuidema, Pieter A.; Sass-Klaassen, Ute] Wageningen Univ, Forest Ecol &amp; Forest Management Grp, Wageningen, Netherlands; [Babst, Flurin] Univ Arizona, Sch Nat Resources &amp; Environm, Tucson, AZ USA; [Babst, Flurin; Trouet, Valerie; Khamisi, Zakia Hassan; Sheppard, Paul R.; Touchan, Ramzi] Univ Arizona, Lab Tree Ring Res, Tucson, AZ USA; [Groenendijk, Peter; Vieira Aragao, Jose Roberto] Univ Campinas UNICAMP, Inst Biol, Dept Plant Biol, Campinas, Brazil; [Abiyu, Abrham] World Agroforestry Ctr ICRAF, Addis Ababa, Ethiopia; [Acuna-Soto, Rodolfo] Univ Nacl Autonoma Mexico, Dept Microbiol &amp; Parasitol, Mexico City, DF, Mexico; [Adenesky-Filho, Eduardo] Univ Reg Blumenau, Dept Forest Engn, Lab Protect &amp; Forest Management, Blumenau, SC, Brazil; [Alfaro-Sanchez, Raquel] Wilfrid Laurier Univ, Dept Biol, Waterloo, ON, Canada; [Assis-Pereira, Gabriel; Fontana, Claudia; Tomazello-Filho, Mario] Univ Sao Paulo, Luiz de Queiroz Coll Agr, Dept Forest Sci, Piracicaba, Brazil; [Assis-Pereira, Gabriel; Barbosa, Ana Carolina] Univ Fed Lavras, Forest Sci Dept, Tree Ring Lab, Lavras, Brazil; [Bai, Xue; Fan, Ze-Xin; Panthi, Shankar; Zhou, Zhe-Kun] Chinese Acad Sci, CAS Key Lab Trop Forest Ecol, Xishuangbanna Trop Bot Garden, Mengla, Peoples R China; [Battipaglia, Giovanna] Univ Campania L Vanvitelli, Dept Environm Biol &amp; Pharmaceut Sci &amp; Technol, Caserta, Italy; [Beeckman, Hans; Couralet, Camille; Toirambe, Benjamin] Royal Museum Cent Africa, Serv Wood Biol, Tervuren, Belgium; [Botosso, Paulo Cesar] Brazilian Agr Res Corp Embrapa, Embrapa Forestry, Colombo, Brazil; [Bradley, Tim] US Forest Serv, USDA, NWCG Member Agcy, Washington, DC 20250 USA; [Braeuning, Achim; Islam, Mahmuda; Mokria, Mulugeta; Rahman, Mizanur] Friedrich Alexander Univ Erlangen Nuremberg, Inst Geog, Erlangen, Germany; [Brienen, Roel; Gloor, Emanuel] Univ Leeds, Sch Geog, Leeds, W Yorkshire, England; [Buckley, Brendan M.; D'Arrigo, Rosanne] Columbia Univ, Lamont Doherty Earth Observ, Palisades, NY USA; [Julio Camarero, J.] Inst Pirena Ecol IPE CSIC, Zaragoza, Spain; [Carvalho, Ana; Nabais, Cristina] Univ Coimbra, Fac Sci &amp; Technol, Ctr Funct Ecol, Dept Life Sci, Coimbra, Portugal; [Ceccantini, Gregorio; Ladvocat Cintra, Bruno Barcante; Locosselli, Giuliano Maselli] Univ Sao Paulo, Inst Biosci, Dept Bot, Sao Paulo, Brazil; [Centeno-Erguera, Librado R.; Cerano-Paredes, Julian; Villanueva-Diaz, Jose] Inst Nacl Invest Forestales Agr &amp; Pecuarias INIFA, Ctr Nacl Invest Disciplinaria Relac Agua Suelo Pl, Gomez Palacio, Mexico; [Agustin Chavez-Duran, Alvaro] Inst Nacl Invest Forestales Agr &amp; Pecuarias INIFA, Campo Expt Ctr Altos de Jalisco, Tepatitlan De Morelos, Mexico; [Cleaveland, Malcolm K.; Granato-Souza, Daniela] Univ Arkansas, Dept Geosci, Fayetteville, AR 72701 USA; [Ignacio del Valle, Jorge] Univ Nacl Colombia Sede Medellin, Dept Forest Sci, Medellin, Colombia; [Duenisch, Oliver] Master Sch Carpentry &amp; Cabinetmaking, Ebern, Germany; [Enquist, Brian J.] Univ Arizona, Dept Ecol &amp; Evolutionary Biol, Tucson, AZ USA; [Enquist, Brian J.] Santa Fe Inst, Santa Fe, NM 87501 USA; [Esemann-Quadros, Karin] Univ Joinville Reg UNIVILLE, Dept Biol Sci, Joinville, Brazil; [Esemann-Quadros, Karin] Reg Univ Blumenau FURB, Postgrad Program Forestry, Blumenau, Brazil; [Eshetu, Zewdu] Addis Ababa Univ, Coll Life Sci, Climate Sci Ctr, Addis Ababa, Ethiopia; [Eshetu, Zewdu] Addis Ababa Univ, Dept Earth Sci, Addis Ababa, Ethiopia; [Eugenia Ferrero, M.; Lopez, Lidio; Alejandro Roig, Fidel; Villalba, Ricardo] CCT CONICET Mendoza, Dept Dendrocronol &amp; Hist Ambiental, IANIGLA, Mendoza, Argentina; [Eugenia Ferrero, M.; Inga, Janet G.; Jimmy Requena-Rojas, Edilson] Univ Continental, Lab Dendrocronol, Huancayo, Peru; [Fichtler, Esther] Gottingen Univ, Dept Crop Sci Trop Plant Prod &amp; Agr Syst Modellin, Gottingen, Germany; [Francisco, Kainana S.; Mokria, Mulugeta] US Forest Serv, Inst Pacific Isl Forestry, USDA, Pacific Southwest Res Stn, Hilo, HI USA; [Gebrekirstos, Aster] World Agroforestry Ctr ICRAF, Nairobi, Kenya; [Haneca, Kristof] Flanders Heritage Agcy, Brussels, Belgium; [Harley, Grant Logan] Univ Idaho, Dept Geog &amp; Geol Sci, Moscow, ID 83843 USA; [Heinrich, Ingo] German Archaeol Inst DAI, Berlin, Germany; [Heinrich, Ingo] Humboldt Univ, Geog Dept, Berlin, Germany; [Heinrich, Ingo; Helle, Gerd] GFZ German Res Ctr Geosci, Potsdam, Germany; [Islam, Mahmuda; Rahman, Mizanur] Shahjalal Univ Sci &amp; Technol, Dept Forestry &amp; Environm Sci, Sylhet, Bangladesh; [Jiang, Yu-mei] Czech Univ Life Sci Prague, Fac Forestry &amp; Wood Sci, Prague, Czech Republic; [Kaib, Mark] US Fish &amp; Wildlife Serv, Albuquerque, NM USA; [Koprowski, Marcin] Nicolaus Copernicus Univ, Fac Biol &amp; Vet Sci, Dept Ecol &amp; Biogeog, Torun, Poland; [Koprowski, Marcin] Nicolaus Copernicus Univ, Ctr Climate Change Res, Torun, Poland; [Kruijt, Bart] Wageningen Univ &amp; Res, Water Syst &amp; Global Change Grp, Wageningen, Netherlands; [Layme, Eva] Inst Nacl Innovac Agr, Programa Nacl Invest Forestal, Huancayo, Peru; [Leemans, Rik] Wageningen Univ &amp; Res, Environm Syst Anal Grp, Wageningen, Netherlands; [Leffler, A. Joshua] South Dakota State Univ, Dept Nat Resource Management, Brookings, SD 57007 USA; [Sergio Lisi, Claudio; Pagotto, Mariana Alves; Ribeiro, Adauto de Souza] Univ Fed Sergipe, Dept Biol, Lab Plant Anat &amp; Dendrochronol, Sergipe, Brazil; [Loader, Neil J.; Robertson, Iain] Swansea Univ, Dept Geog, Swansea, W Glam, Wales; [Lopez-Hernandez, Maria, I] Univ Autonoma Agr Antonio Narro, Dept Forestal, Saltillo, Coahuila, Mexico; [Penetra Cerveira Lousada, Jose Luis] Univ Tres Os Montes &amp; Alto Douro, CITAB Dept Forestry Sci &amp; Landscape CIFAP, Vila Real, Portugal; [Mendivelso, Hooz A.] Univ Pedag &amp; Tecnol Colombia UPTC, Escuela Ciencias Biol, Tunja, Colombia; [Montoia, Valdinez Ribeiro] Brazilian Agr Res Corp Embrapa, Embrapa Amazonia Ocidental, Manaus, Amazonas, Brazil; [Moors, Eddy] IHE Delft, Delft, Netherlands; [Moors, Eddy] Vrije Univ Amsterdam, Amsterdam, Netherlands; [Ngoma, Justine] Copperbelt Univ, Sch Nat Resources, Dept Biomat Sci &amp; Technol, Kitwe, Zambia; [Nogueira Junior, Francisco de Carvalho] Fed Inst Sergipe, Lab Ecol &amp; Dendrol, Sao Cristovao, Brazil; [Oliveira, Juliano Morales; Olmedo, Gabriela Morais] Univ Vale Rio dos Sinos UNISINOS, Lab Plant Ecol, Sao Leopoldo, Brazil; [Perez-De-Lis, Gonzalo] Univ Santiago de Compostela, Dept Bot, EPSE, BIOAPLIC, Lugo, Spain; [Pucha-Cofrep, Darwin] Univ Nacl Loja, Lab Dendrocronol, Carrera Ingn Forestal, Loja, Ecuador; [Pumijumnong, Nathsuda] Mahidol Univ, Fac Environm &amp; Resource Studies, Phutthamonthon Dist, Nakhon Pathom, Thailand; [Andres Ramirez, Jorge] Univ Cauca, Fac Ciencias Agr, Popayan, Colombia; [Alejandro Roig, Fidel; Venegas-Gonzalez, Alejandro] Univ Mayor, Fac Ciencias, Hemera Ctr Observac Tierra, Escuela Ingn Forestal, Santiago, Chile; [Alonso Rubio-Camacho, Ernesto] Ctr Altos Jalisco, Ctr Invest Reg Pacifico Ctr Campo Expt, Inst Nacl Invest Forestales Agr &amp; Pecuarias INIFA, Guadalajara, Jalisco, Mexico; [Schongart, Jochen] Natl Inst Amazon Res, Manaus, Amazonas, Brazil; [Slotta, Franziska] Free Univ Berlin, Dept Earth Sci, Berlin, Germany; [Speer, James H.] Indiana State Univ, Dept Earth &amp; Environm Syst, Terre Haute, IN 47809 USA; [Therrell, Matthew D.] Univ Alabama, Dept Geog, Tuscaloosa, AL USA; [Torbenson, Max C. A.] Ohio State Univ, Dept Civil Environm &amp; Geodet Engn, Columbus, OH 43210 USA; [Torbenson, Max C. A.] Johannes Gutenberg Univ Mainz, Dept Geog, Mainz, Germany; [Vinya, Royd] Copperbelt Univ, Sch Nat Resources, Dept Plant &amp; Environm Sci, Kitwe, Zambia; [Vlam, Mart] Van Hall Larenstein Univ Appl Sci, Forest &amp; Nat Management, Velp, Netherlands; [Wils, Tommy] Fontys Univ Appl Sci, Sch Teacher Training Secondary Educ Tilburg, Tilburg, Netherlands</t>
  </si>
  <si>
    <t>Wageningen University &amp; Research; University of Arizona; University of Arizona; Universidade de Sao Paulo; Universidade Estadual de Campinas; Universidad Nacional Autonoma de Mexico; Universidade Regional de Blumenau (FURB); Wilfrid Laurier University; Universidade de Sao Paulo; Universidade Federal de Lavras; Chinese Academy of Sciences; Xishuangbanna Tropical Botanical Garden, CAS; Universita della Campania Vanvitelli; Royal Museum for Central Africa; Empresa Brasileira de Pesquisa Agropecuaria (EMBRAPA); United States Department of Agriculture (USDA); United States Forest Service; University of Erlangen Nuremberg; N8 Research Partnership; White Rose University Consortium; University of Leeds; Columbia University; Consejo Superior de Investigaciones Cientificas (CSIC); Universidade de Coimbra; Universidade de Sao Paulo; University of Arkansas System; University of Arkansas Fayetteville; Universidad Nacional de Colombia; University of Arizona; The Santa Fe Institute; Universidade da Regiao de Joinville; Universidade Regional de Blumenau (FURB); Addis Ababa University; Addis Ababa University; Consejo Nacional de Investigaciones Cientificas y Tecnicas (CONICET); University Nacional Cuyo Mendoza; Universidad Continental; University of Gottingen; United States Department of Agriculture (USDA); United States Forest Service; CGIAR; World Agroforestry (ICRAF); Idaho; University of Idaho; Humboldt University of Berlin; Helmholtz Association; Helmholtz-Center Potsdam GFZ German Research Center for Geosciences; Shahjalal University of Science &amp; Technology (SUST); Czech University of Life Sciences Prague; United States Department of the Interior; US Fish &amp; Wildlife Service; Nicolaus Copernicus University; Nicolaus Copernicus University; Wageningen University &amp; Research; Wageningen University &amp; Research; South Dakota State University; Universidade Federal de Sergipe; Swansea University; Universidad Pedagogica y Tecnologica de Colombia (UPTC); Empresa Brasileira de Pesquisa Agropecuaria (EMBRAPA); IHE Delft Institute for Water Education; Vrije Universiteit Amsterdam; Instituto Federal de Sergipe (IFS); Universidade do Vale do Rio dos Sinos (Unisinos); Universidade de Santiago de Compostela; Mahidol University; Universidad del Cauca; Universidad Mayor; Institute Nacional de Pesquisas da Amazonia; Free University of Berlin; Indiana State University; University of Alabama System; University of Alabama Tuscaloosa; University System of Ohio; Ohio State University; Johannes Gutenberg University of Mainz; Copperbelt University</t>
  </si>
  <si>
    <t>Zuidema, PA (corresponding author), Wageningen Univ, Forest Ecol &amp; Forest Management Grp, Wageningen, Netherlands.</t>
  </si>
  <si>
    <t>Pieter.Zuidema@wur.nl</t>
  </si>
  <si>
    <t>Esemann-Quadros, Karin/AAJ-5140-2021; Babst, Flurin/C-5651-2017; Fontana, Cláudia/F-1206-2018; Groenendijk, Peter/P-1572-2014; Panthi, Shankar/N-5894-2019; Torbenson, Max C.A./HWQ-5351-2023; Pérez de Lis, Gonzalo/HKN-2787-2023; Carvalho, Ana/AAF-3487-2021; Granato-Souza, Daniela/V-7533-2019; Enquist, Brian J/B-6436-2008; Leemans, Rik/A-1548-2009; Fan, Zexin/E-2344-2016; Tomazello-Filho, Mario/ABD-8077-2020; Speer, James H/C-3813-2014; BL Cintra, Bruno/AAE-5019-2019; Robertson, Iain/H-5327-2012; Zhou, Zhekun/G-5281-2011; Lousada, Jose/E-8678-2012; Alfaro Sanchez, Raquel/K-6836-2017; Zuidema, Pieter/C-8951-2009; Aragao, Jose Roberto Vieira/U-6597-2018</t>
  </si>
  <si>
    <t>Esemann-Quadros, Karin/0000-0003-2822-3364; Babst, Flurin/0000-0003-4106-7087; Fontana, Cláudia/0000-0003-2032-5673; Groenendijk, Peter/0000-0003-2752-6195; Panthi, Shankar/0000-0002-3522-5555; Torbenson, Max C.A./0000-0003-2720-2238; Pérez de Lis, Gonzalo/0000-0002-7913-2190; Carvalho, Ana/0000-0002-9316-9571; Granato-Souza, Daniela/0000-0002-7011-0892; Enquist, Brian J/0000-0002-6124-7096; Leemans, Rik/0000-0002-4001-6301; Fan, Zexin/0000-0003-4623-6783; Tomazello-Filho, Mario/0000-0002-9814-0778; Speer, James H/0000-0003-1188-0552; BL Cintra, Bruno/0000-0002-5116-2654; Robertson, Iain/0000-0001-7174-4523; Zhou, Zhekun/0000-0002-0710-2128; Lousada, Jose/0000-0002-0991-1711; Ferrero, Maria Eugenia/0000-0001-6858-2164; Alfaro Sanchez, Raquel/0000-0001-7357-3027; Villalba, Ricardo/0000-0001-8183-0310; Trouet, Valerie/0000-0002-2683-8704; Zuidema, Pieter/0000-0001-8100-1168; Layme Huaman, Eva/0000-0003-0357-3587; Abiyu, Abrham/0000-0001-9427-9820; Islam, Mahmuda/0000-0003-3149-6582; Aragao, Jose Roberto Vieira/0000-0001-8035-9635; Pucha-Cofrep, Darwin Alexander/0000-0003-3212-1184; Morales Oliveira, Juliano/0000-0003-2834-852X; Requena Rojas, Edilson Jimmy/0000-0002-0653-587X; Haneca, Kristof/0000-0002-7719-8305; Rahman, Mizanur/0000-0001-9011-2011; Ramirez-Correa, Jorge Andres/0000-0003-3101-052X; Lopez, Lidio/0000-0001-5254-9618</t>
  </si>
  <si>
    <t>Agencia Nacional de Promocion Cientifica y Tecnologica, Argentina [PICT 2014-2797]; Alberta Mennega Stichting; BBVA Foundation; Belspo BRAIN [BR/143/A3/HERBAXYLAREDD]; ConfederacAo da Agricultura e Pecuaria do Brasil - CNA; CoordenacAo de Aperfeicoamento de Pessoal de Nivel Superior - CAPES, Brazil [PDSE 15011/13-5, 88881.135931/2016-01, 88887.199858/2018-00, 001]; Conselho Nacional de Desenvolvimento Cientifico e Tecnologico - CNPq, Brazil [ENV 42, 1009/4785031-2, 311874/2017-7]; Deutsche Forschungsgemeinschaft - DFG [BR 1895/15-1, BR 1895/23-1, BR 1895/29-1, BR 1895/24-1]; CONICET; CUOMO FOUNDATION (IPCC scholarship); DGD-RMCA PilotMAB; Direccion General de Asuntos del Personal Academico of the UNAM (Mexico); Elsa-Neumann-Scholarship of the Federal State of Berlin; EMBRAPA Brazilian Agricultural Research Corporation; Equatorian Direccion de Investigacion UNL [21-DI-FARNR-2019]; SAo Paulo Research Foundation FAPESP [2009/53951-7, 2012/50457-4, 2018/01847-0, 2018/24514-7, 2019/08783-0, 2019/27110-7]; FAPESP-NERC [18/50080-4]; FAPITEC/SE/FUNTEC [01/2011]; Fulbright Fellowship; German Academic Exchange Service (DAAD); German Ministry of Education, Science, Research, and Technology [FRG 0339638]; ICRAF through the Forests, Trees, and Agroforestry research programme of the CGIAR; Inter-American Institute for Global Change Research [IAI-SGP-CRA 2047]; International Foundation for Science [D/5466-1]; Lamont Climate Center; Miquelfonds; National Geographic Global Exploration Fund [GEFNE80-13]; USA's National Science Foundation NSF [IBN-9801287, GER 9553623]; NSF P2C2 [AGS-1501321]; NSF-FAPESP PIRE [2017/50085-3]; NUFFIC-NICHE programme (HEART project); Peru 's CONCYTEC; Peru 's World Bank [043-2019-FONDECYT-BM-INC.INV]; Peru's Fondo Nacional de Desarrollo Cientifico, Tecnologico y de Innovacion Tecnologica [FONDECYT-BM-INC.INV 039-2019]; Programa Bosques Andinos - HELVETAS Swiss Intercooperation; Programa Nacional de Becas y Credito Educativo - PRONABEC; Schlumberger Foundation Faculty for the Future; Sigma Xi; Smithsonian Tropical Research Institute; Spanish Ministry of Foreign Affairs AECID [11-CAP2-1730]; UK NERC [NE/K01353X/1];  [CONACYT-CB-2016-283134]; Fundacao de Amparo a Pesquisa do Estado de Sao Paulo (FAPESP) [18/50080-4] Funding Source: FAPESP</t>
  </si>
  <si>
    <t>Agencia Nacional de Promocion Cientifica y Tecnologica, Argentina(ANPCyT); Alberta Mennega Stichting; BBVA Foundation(BBVA Foundation); Belspo BRAIN; ConfederacAo da Agricultura e Pecuaria do Brasil - CNA; CoordenacAo de Aperfeicoamento de Pessoal de Nivel Superior - CAPES, Brazil(Coordenacao de Aperfeicoamento de Pessoal de Nivel Superior (CAPES)); Conselho Nacional de Desenvolvimento Cientifico e Tecnologico - CNPq, Brazil(Conselho Nacional de Desenvolvimento Cientifico e Tecnologico (CNPQ)); Deutsche Forschungsgemeinschaft - DFG(German Research Foundation (DFG)); CONICET(Consejo Nacional de Investigaciones Cientificas y Tecnicas (CONICET)); CUOMO FOUNDATION (IPCC scholarship); DGD-RMCA PilotMAB; Direccion General de Asuntos del Personal Academico of the UNAM (Mexico); Elsa-Neumann-Scholarship of the Federal State of Berlin; EMBRAPA Brazilian Agricultural Research Corporation(Empresa Brasileira de Pesquisa Agropecuaria (EMBRAPA)); Equatorian Direccion de Investigacion UNL; SAo Paulo Research Foundation FAPESP(Fundacao de Amparo a Pesquisa do Estado de Sao Paulo (FAPESP)); FAPESP-NERC; FAPITEC/SE/FUNTEC; Fulbright Fellowship; German Academic Exchange Service (DAAD)(Deutscher Akademischer Austausch Dienst (DAAD)); German Ministry of Education, Science, Research, and Technology; ICRAF through the Forests, Trees, and Agroforestry research programme of the CGIAR; Inter-American Institute for Global Change Research; International Foundation for Science(International Foundation for Science); Lamont Climate Center; Miquelfonds; National Geographic Global Exploration Fund(National Geographic Society); USA's National Science Foundation NSF(National Science Foundation (NSF)); NSF P2C2(National Science Foundation (NSF)NSF - Directorate for Geosciences (GEO)); NSF-FAPESP PIRE; NUFFIC-NICHE programme (HEART project); Peru 's CONCYTEC; Peru 's World Bank; Peru's Fondo Nacional de Desarrollo Cientifico, Tecnologico y de Innovacion Tecnologica; Programa Bosques Andinos - HELVETAS Swiss Intercooperation; Programa Nacional de Becas y Credito Educativo - PRONABEC; Schlumberger Foundation Faculty for the Future(Schlumberger); Sigma Xi; Smithsonian Tropical Research Institute(Smithsonian InstitutionSmithsonian Tropical Research Institute); Spanish Ministry of Foreign Affairs AECID; UK NERC(UK Research &amp; Innovation (UKRI)Natural Environment Research Council (NERC)); ; Fundacao de Amparo a Pesquisa do Estado de Sao Paulo (FAPESP)(Fundacao de Amparo a Pesquisa do Estado de Sao Paulo (FAPESP))</t>
  </si>
  <si>
    <t>We acknowledge financial support to the co-authors provided by Agencia Nacional de Promocion Cientifica y Tecnologica, Argentina (PICT 2014-2797) to M.E.F.; Alberta Mennega Stichting to P.G.; BBVA Foundation to H.A.M. and J.J.C.; Belspo BRAIN project: BR/143/A3/HERBAXYLAREDD to H.B.; ConfederacAo da Agricultura e Pecuaria do Brasil - CNA to C.F.; CoordenacAo de Aperfeicoamento de Pessoal de Nivel Superior - CAPES, Brazil (PDSE 15011/13-5 to M.A.P.; 88881.135931/2016-01 to C.F.; 88887.199858/2018-00 to G.A.-P.; Finance Code 001 for all Brazilian collaborators); Conselho Nacional de Desenvolvimento Cientifico e Tecnologico - CNPq, Brazil (ENV 42 to O.D.; 1009/4785031-2 to G.C.; 311874/2017-7 to J.S.); CONACYT-CB-2016-283134 to J.V.-D.; CONICET to F.A.R.; CUOMO FOUNDATION (IPCC scholarship) to M.M.; Deutsche Forschungsgemeinschaft - DFG (BR 1895/15-1 to A.B.; BR 1895/23-1 to A.B.; BR 1895/29-1 to A.B.; BR 1895/24-1 to M.M.); DGD-RMCA PilotMAB to B.T.; Direccion General de Asuntos del Personal Academico of the UNAM (Mexico) to R.B.; Elsa-Neumann-Scholarship of the Federal State of Berlin to F.S.; EMBRAPA Brazilian Agricultural Research Corporation to C.F.; Equatorian Direccion de Investigacion UNL (21-DI-FARNR-2019) to D.P.-C.; SAo Paulo Research Foundation FAPESP (2009/53951-7 to M.T.-F.; 2012/50457-4 to G.C.; 2018/01847-0 to P.G.; 2018/24514-7 to J.R.V.A.; 2019/08783-0 to G.M.L.; 2019/27110-7 to C.F.); FAPESP-NERC 18/50080-4 to G.C.; FAPITEC/SE/FUNTEC no. 01/2011 to M.A.P.; Fulbright Fellowship to B.J.E.; German Academic Exchange Service (DAAD) to M.I. and M.R.; German Ministry of Education, Science, Research, and Technology (FRG 0339638) to O.D.; ICRAF through the Forests, Trees, and Agroforestry research programme of the CGIAR to M.M.; Inter-American Institute for Global Change Research (IAI-SGP-CRA 2047) to J.V.-D.; International Foundation for Science (D/5466-1) to M.I.; Lamont Climate Center to B.M.B.; Miquelfonds to P.G.; National Geographic Global Exploration Fund (GEFNE80-13) to I.R.; USA's National Science Foundation NSF (IBN-9801287 to A.J.L.; GER 9553623 and a postdoctoral fellowship to B.J.E.); NSF P2C2 (AGS-1501321) to A.C.B., D.G.-S. and G.A.-P.; NSF-FAPESP PIRE 2017/50085-3 to M.T.-F., G.C. and G.M.L.; NUFFIC-NICHE programme (HEART project) to B.K., E.M., J.H.S., J.N. and R. Vinya; Peru 's CONCYTEC and World Bank (043-2019-FONDECYT-BM-INC.INV.) to J.G.I.; Peru's Fondo Nacional de Desarrollo Cientifico, Tecnologico y de Innovacion Tecnologica (FONDECYT-BM-INC.INV 039-2019) to E.J.R.-R. and M.E.F.; Programa Bosques Andinos - HELVETAS Swiss Intercooperation to M.E.F.; Programa Nacional de Becas y Credito Educativo - PRONABEC to J.G.I.; Schlumberger Foundation Faculty for the Future to J.N.; Sigma Xi to A.J.L.; Smithsonian Tropical Research Institute to R. Alfaro-Sanchez.; Spanish Ministry of Foreign Affairs AECID (11-CAP2-1730) to H.A.M. and J.J.C.; UK NERC grant NE/K01353X/1 to E.G. For logistical and (field) assistance, we thank Bangladesh Forest Department; Ethiopian Orthodox Tewahido Church and Congregants; Evandro Dalmaso (CEMAL logging firm); Instituto Boliviano de Investigacion Forestal (IBIF; Bolivia); INPA parket Co.; Instituto Federal de EducacAo; Ciencia e Tecnologia de Sergipe (IFS); Ministry of Minerals, Energy and Water Resources of Botswana; Reserva Natural da Vale (RNV); Sebastian Bernal; the Valere project of University of Campania L. Vanvitelli; the villagers of Nizanda in Oaxaca, Mexico. We are grateful for the help and supervision by D. Stahle, D. Eckstein and H. Muller-Landau.</t>
  </si>
  <si>
    <t>Ahlstrom A, 2015, SCIENCE, V348, P895, DOI 10.1126/science.aaa1668; Anderegg WRL, 2020, SCIENCE, V368, P1327, DOI 10.1126/science.aaz7005; Andrew RM, 2018, EARTH SYST SCI DATA, V10, P195, DOI 10.5194/essd-10-195-2018; Babst F, 2019, SCI ADV, V5, DOI 10.1126/sciadv.aat4313; Babst F, 2017, NAT ECOL EVOL, V1, DOI 10.1038/s41559-016-0008; Babst F, 2013, GLOBAL ECOL BIOGEOGR, V22, P706, DOI 10.1111/geb.12023; Barichivich J, 2021, BIOGEOSCIENCES, V18, P3781, DOI 10.5194/bg-18-3781-2021; Beck HE, 2018, SCI DATA, V5, DOI [10.1038/s41597-018-0002-5, 10.1038/sdata.2018.214, 10.1038/sdata.2018.173]; Brienen RJW, 2016, TREE PHYSIOL-NETH, V6, P439, DOI 10.1007/978-3-319-27422-5_20; Brodribb TJ, 2020, SCIENCE, V368, P261, DOI 10.1126/science.aat7631; Bunn AG, 2008, DENDROCHRONOLOGIA, V26, P115, DOI 10.1016/j.dendro.2008.01.002; Canty, R PACKAGE, V1, P3; Clark DA, 2003, P NATL ACAD SCI USA, V100, P5852, DOI 10.1073/pnas.0935903100; Clark DA, 2013, J GEOPHYS RES-BIOGEO, V118, P783, DOI 10.1002/jgrg.20067; Core Team R., 2013, R LANG ENV STAT COMP; Demin, 2020, EXPSS TABLES LABLETS; Doughty CE, 2015, NATURE, V519, P78, DOI 10.1038/nature14213; FAN L, 2019, NAT PLANTS; Fatichi S, 2019, NEW PHYTOL, V221, P652, DOI 10.1111/nph.15451; Fichtler E, 2003, BIOTROPICA, V35, P306, DOI 10.1111/j.1744-7429.2003.tb00585.x; Fick SE, 2017, INT J CLIMATOL, V37, P4302, DOI 10.1002/joc.5086; Fritts H., 2012, TREE RINGS CLIMATE; FURNIVAL GM, 1974, TECHNOMETRICS, V16, P499, DOI 10.2307/1267601; Girardin CAJ, 2016, GLOBAL BIOGEOCHEM CY, V30, P700, DOI 10.1002/2015GB005270; Gromping U, 2006, J STAT SOFTW, V17, DOI 10.18637/jss.v017.i01; Groenendijk P, 2014, FOREST ECOL MANAG, V323, P65, DOI 10.1016/j.foreco.2014.03.037; Guan KY, 2015, NAT GEOSCI, V8, P284, DOI 10.1038/NGEO2382; Harris I., 2014, International Journal of Climatology, V34, P623, DOI 10.1002/joc.3711; Hewitson BC, 2002, CLIMATE RES, V22, P13, DOI 10.3354/cr022013; Hubau W, 2020, NATURE, V579, P80, DOI 10.1038/s41586-020-2035-0; Humphrey V, 2018, NATURE, V560, P628, DOI 10.1038/s41586-018-0424-4; Jung M, 2017, NATURE, V541, P516, DOI 10.1038/nature20780; Keenan TF, 2018, ANNU REV ENV RESOUR, V43, P219, DOI 10.1146/annurev-environ-102017-030204; Klesse S, 2018, GLOBAL BIOGEOCHEM CY, V32, P1226, DOI 10.1029/2017GB005856; Klesse S, 2018, NAT COMMUN, V9, DOI 10.1038/s41467-018-07800-y; Krepkowski J, 2011, TREES-STRUCT FUNCT, V25, P59, DOI 10.1007/s00468-010-0460-7; LOCOSSELLI GM, 2020, P NATL ACAD SCI US; Lopez L, 2019, ECOGRAPHY, V42, P1899, DOI 10.1111/ecog.04296; Lucy D, 2002, J R STAT SOC C-APPL, V51, P183, DOI 10.1111/1467-9876.00262; Lumley T., 2019, LEAPS REGRESSION SUB; Martin-Benito D, 2015, J BIOGEOGR, V42, P925, DOI 10.1111/jbi.12462; Mau AC, 2018, FORESTS, V9, DOI 10.3390/f9010047; McDowell NG, 2020, SCIENCE, V368, P964, DOI 10.1126/science.aaz9463; McLeod A., 2018, BESTGLM BEST SUBSET; Mendivelso HA, 2016, AGR FOREST METEOROL, V216, P20, DOI 10.1016/j.agrformet.2015.09.014; Moore S, 2018, GLOBAL CHANGE BIOL, V24, pE496, DOI 10.1111/gcb.13907; MORALES MS, 2020, P NATL ACAD SCI US; NEPSTAD DC, 1994, NATURE, V372, P666, DOI 10.1038/372666a0; Niu SL, 2017, GLOBAL ECOL BIOGEOGR, V26, P1225, DOI 10.1111/geb.12633; Pan YD, 2011, SCIENCE, V333, P988, DOI 10.1126/science.1201609; Panthi S, 2020, GLOBAL CHANGE BIOL, V26, P1778, DOI 10.1111/gcb.14910; Pau S, 2018, ECOSPHERE, V9, DOI 10.1002/ecs2.2311; Peters RL, 2021, NEW PHYTOL, V229, P213, DOI 10.1111/nph.16872; Phillips OL, 2009, SCIENCE, V323, P1344, DOI 10.1126/science.1164033; Poulter B, 2014, NATURE, V509, P600, DOI 10.1038/nature13376; Rathgeber CBK, 2016, FRONT PLANT SCI, V7, DOI 10.3389/fpls.2016.00734; Restrepo-Coupe N, 2017, GLOBAL CHANGE BIOL, V23, P191, DOI 10.1111/gcb.13442; Rifai SW, 2018, PHILOS T R SOC B, V373, DOI 10.1098/rstb.2017.0410; Schulman E., 1956, Dendroclimatic changes in semiarid America.; Sullivan MJP, 2020, SCIENCE, V368, P869, DOI 10.1126/science.aaw7578; Trouet V, 2012, PLOS ONE, V7, DOI 10.1371/journal.pone.0047364; Vicente-Serrano SM, 2010, J CLIMATE, V23, P1696, DOI 10.1175/2009JCLI2909.1; Aragao JRV, 2019, DENDROCHRONOLOGIA, V53, P5, DOI 10.1016/j.dendro.2018.10.011; Wagner FH, 2016, BIOGEOSCIENCES, V13, P2537, DOI 10.5194/bg-13-2537-2016; Wang J, 2016, BIOGEOSCIENCES, V13, P2339, DOI 10.5194/bg-13-2339-2016; Wehrens R, 2007, J STAT SOFTW, DOI 10.18637/jss.v021.i05.; Whittaker R. H., 1975, PRIMARY PRODUCTIVITY, V14; Wigneron JP, 2020, SCI ADV, V6, DOI 10.1126/sciadv.aay4603; Zhang XZ, 2018, GLOBAL CHANGE BIOL, V24, P3954, DOI 10.1111/gcb.14275; Zhao SD, 2019, J BIOGEOGR, V46, P355, DOI 10.1111/jbi.13488; Zuidema PA, 2018, TRENDS PLANT SCI, V23, P1006, DOI 10.1016/j.tplants.2018.08.003</t>
  </si>
  <si>
    <t>1752-0894</t>
  </si>
  <si>
    <t>1752-0908</t>
  </si>
  <si>
    <t>NAT GEOSCI</t>
  </si>
  <si>
    <t>Nat. Geosci.</t>
  </si>
  <si>
    <t>10.1038/s41561-022-00911-8</t>
  </si>
  <si>
    <t>0M2UG</t>
  </si>
  <si>
    <t>Green Accepted, Green Published</t>
  </si>
  <si>
    <t>WOS:000777374800001</t>
  </si>
  <si>
    <t>Jakovac, CC; Meave, JA; Bongers, F; Letcher, SG; Dupuy, JM; Piotto, D; Rozendaal, DMA; Pena-Claros, M; Craven, D; Santos, BA; Siminski, A; Fantini, AC; Rodrigues, AC; Hernandez-Jaramillo, A; Idarraga, A; Junqueira, AB; Zambrano, AMA; de Jong, BJ; Pinho, BX; Finegan, B; Castellano-Castro, C; Zambiazi, DC; Dent, DH; Garcia, DH; Kennard, D; Delgado, D; Broadbent, EN; Ortiz-Malavassi, E; Perez-Garcia, EA; Lebrija-Trejos, E; Berenguer, E; Marin-Spiotta, E; Alvarez-Davila, E; Sampaio, EVD; Melo, F; Elias, F; Franca, F; Oberleitner, F; Mora, F; Williamson, GB; Dalla Colletta, G; Cabral, GAL; Derroire, G; Fernandes, GW; van Der Wal, H; Teixeira, HM; Vester, HFM; Garcia, H; Vieira, ICG; Jimenez-Montoya, J; De Almeida-Cortez, JS; Hall, JS; Chave, J; Zimmerman, JK; Nieto, JE; Ferreira, J; Rodriguez-Velazquez, J; Ruiz, J; Barlow, J; Aguilar-Cano, J; Hernandez-Stefanoni, JL; Engel, J; Becknell, JM; Zanini, K; Lohbeck, M; Tabarelli, M; Romero-Romero, MA; Uriarte, M; Veloso, MDM; Espirito-Santo, MM; van Der Sande, MT; van Breugel, M; Martinez-Ramos, M; Schwartz, NB; Norden, N; Perez-Cardenas, N; Gonzalez-Valdivia, N; Petronelli, P; Balvanera, P; Massoca, P; Brancalion, PHS; Villa, PM; Hietz, P; Ostertag, R; Lopez-Camacho, R; Cesar, RG; Mesquita, R; Chazdon, RL; Munoz, R; DeWalt, SJ; Muller, SC; Duran, SM; Martins, SV; Ochoa-Gaona, S; Rodriguez-Buritica, S; Aide, TM; Bentos, TV; Moreno, VD; Granda, V; Thomas, W; Silver, WL; Nunes, YRF; Poorter, L</t>
  </si>
  <si>
    <t>Jakovac, Catarina C.; Meave, Jorge A.; Bongers, Frans; Letcher, Susan G.; Dupuy, Juan Manuel; Piotto, Daniel; Rozendaal, Danae M. A.; Pena-Claros, Marielos; Craven, Dylan; Santos, Braulio A.; Siminski, Alexandre; Fantini, Alfredo C.; Rodrigues, Alice C.; Hernandez-Jaramillo, Alma; Idarraga, Alvaro; Junqueira, Andre B.; Zambrano, Angelica Maria Almeyda; de Jong, Ben H. J.; Pinho, Bruno Ximenes; Finegan, Bryan; Castellano-Castro, Carolina; Zambiazi, Daisy Christiane; Dent, Daisy H.; Garcia, Daniel Hernan; Kennard, Deborah; Delgado, Diego; Broadbent, Eben N.; Ortiz-Malavassi, Edgar; Perez-Garcia, Eduardo A.; Lebrija-Trejos, Edwin; Berenguer, Erika; Marin-Spiotta, Erika; Alvarez-Davila, Esteban; Sampaio, Everardo Valadares de Sa; Melo, Felipe; Elias, Fernando; Franca, Filipe; Oberleitner, Florian; Mora, Francisco; Williamson, G. Bruce; Dalla Colletta, Gabriel; Cabral, George A. L.; Derroire, Geraldine; Fernandes, Geraldo Wilson; van Der Wal, Hans; Teixeira, Heitor Mancini; Vester, Henricus F. M.; Garcia, Hernando; Vieira, Ima C. G.; Jimenez-Montoya, Jaider; De Almeida-Cortez, Jarcilene S.; Hall, Jefferson S.; Chave, Jerome; Zimmerman, Jess K.; Nieto, Jhon Edison; Ferreira, Joice; Rodriguez-Velazquez, Jorge; Ruiz, Jorge; Barlow, Jos; Aguilar-Cano, Jose; Hernandez-Stefanoni, Jose Luis; Engel, Julien; Becknell, Justin M.; Zanini, Katia; Lohbeck, Madelon; Tabarelli, Marcelo; Romero-Romero, Marco Antonio; Uriarte, Maria; Veloso, Maria D. M.; Espirito-Santo, Mario M.; van Der Sande, Masha T.; van Breugel, Michiel; Martinez-Ramos, Miguel; Schwartz, Naomi B.; Norden, Natalia; Perez-Cardenas, Nathalia; Gonzalez-Valdivia, Noel; Petronelli, Pascal; Balvanera, Patricia; Massoca, Paulo; Brancalion, Pedro H. S.; Villa, Pedro M.; Hietz, Peter; Ostertag, Rebecca; Lopez-Camacho, Rene; Cesar, Ricardo G.; Mesquita, Rita; Chazdon, Robin L.; Munoz, Rodrigo; DeWalt, Saara J.; Muller, Sandra C.; Duran, Sandra M.; Martins, Sebastiao Venancio; Ochoa-Gaona, Susana; Rodriguez-Buritica, Susana; Aide, T. Mitchell; Bentos, Tony Vizcarra; Moreno, Vanessa de S.; Granda, Vanessa; Thomas, Wayt; Silver, Whendee L.; Nunes, Yule R. F.; Poorter, Lourens</t>
  </si>
  <si>
    <t>Strong floristic distinctiveness across Neotropical successional forests</t>
  </si>
  <si>
    <t>SCIENCE ADVANCES</t>
  </si>
  <si>
    <t>PLANT DIVERSITY; DISPERSAL; EVOLUTION; AMERICA; LAND; SIZE</t>
  </si>
  <si>
    <t>Forests that regrow naturally on abandoned fields are important for restoring biodiversity and ecosystem services, but can they also preserve the distinct regional tree floras? Using the floristic composition of 1215 early successional forests (&lt;= 20 years) in 75 human-modified landscapes across the Neotropic realm, we identified 14 distinct floristic groups, with a between-group dissimilarity of 0.97. Floristic groups were associated with location, bioregions, soil pH, temperature seasonality, and water availability. Hence, there is large continental-scale variation in the species composition of early successional forests, which is mainly associated with biogeographic and environmental factors but not with human disturbance indicators. This floristic distinctiveness is partially driven by regionally restricted species belonging to widespread genera. Early secondary forests contribute therefore to restoring and conserving the distinctiveness of bioregions across the Neotropical realm, and forest restoration initiatives should use local species to assure that these distinct floras are maintained.</t>
  </si>
  <si>
    <t>[Jakovac, Catarina C.; Fantini, Alfredo C.; Zambiazi, Daisy Christiane] Univ Fed Santa Catarina, Ctr Ciencias Agr, Dept Fitotecnia, Rod Admar Gonzaga 1346, BR-88034000 Florianopolis, SC, Brazil; [Jakovac, Catarina C.; Bongers, Frans; Pena-Claros, Marielos; Lohbeck, Madelon; van Der Sande, Masha T.; Munoz, Rodrigo; Poorter, Lourens] Wageningen Univ &amp; Res, Forest Ecol &amp; Forest Management Grp, POB 47, NL-6700 AA Wageningen, Netherlands; [Meave, Jorge A.; Perez-Garcia, Eduardo A.; Romero-Romero, Marco Antonio; Munoz, Rodrigo] Univ Nacl Autonoma Mexico, Fac Ciencias, Dept Ecol &amp; Recursos Nat, Mexico City 04510, DF, Mexico; [Letcher, Susan G.] Coll Atlantic, 105 Eden St, Bar Harbor, ME 04609 USA; [Dupuy, Juan Manuel; Hernandez-Stefanoni, Jose Luis] Ctr Invest Cient Yucatan AC, Unidad Recursos Nat, Calle 43 130 x 32 y 34, Chuburna De Hidalgo 97205, Yucatan, Mexico; [Piotto, Daniel] Univ Fed Sul Bahia, Ctr Formacao Ciencias Agroflorestais, BR-45613204 Itabuna, BA, Brazil; [Rozendaal, Danae M. A.] Wageningen Univ &amp; Res, Ctr Crop Syst Anal, Wageningen, Netherlands; [Rozendaal, Danae M. A.] Wageningen Univ &amp; Res, Plant Prod Syst Grp, Wageningen, Netherlands; [Craven, Dylan] Univ Mayor, Ctr Modelac &amp; Monitoreo Ecosistemas, Jose Toribio Medina 29, Santiago, Chile; [Santos, Braulio A.] Univ Fed Paraiba, Joao Pessoa, Paraiba, Brazil; [Siminski, Alexandre] Univ Fed Santa Catarina, Postgrad Program Agr &amp; Nat Ecosyst PPGEAN, Curitibanos, SC, Brazil; [Rodrigues, Alice C.] Assoc Conservacao Biodiversidade PROBIODIVERSA BR, Vicosa, MG, Brazil; [Rodrigues, Alice C.; Villa, Pedro M.] Univ Fed Vicosa, Dept Biol Vegetal, Bot Grad Program, BR-36570900 Vicosa, MG, Brazil; [Hernandez-Jaramillo, Alma] Neotrop Primate Conservat Colombia, Bogota, Colombia; [Idarraga, Alvaro] Fdn Jardin Bot Medellin, Herbario JAUM, Medellin, Colombia; [Junqueira, Andre B.] Univ Autonoma Barcelona, Inst Ciencia &amp; Tecnol Ambientals, Cerdanyola Del Valles 08193, Spain; [Zambrano, Angelica Maria Almeyda] Univ Florida, Ctr Latin Amer Studies, Gainesville, FL 32611 USA; [de Jong, Ben H. J.; Ochoa-Gaona, Susana] Colegio la Frontera Sur, Dept Sustainabil Sci, Av Rancho Poligono 2-A, Lerma 24500, Campeche, Mexico; [Pinho, Bruno Ximenes; Melo, Felipe; Cabral, George A. L.; De Almeida-Cortez, Jarcilene S.; Tabarelli, Marcelo] Univ Fed Pernambuco, Dept Bot, BR-50670901 Recife, PE, Brazil; [Pinho, Bruno Ximenes] Univ Montpellier, CNRS, CIRAD, INRAe,IRD,AMAP, Montpellier, France; [Finegan, Bryan; Delgado, Diego; Granda, Vanessa] CATIE Ctr Agron Trop Invest &amp; Ensenanza, Turrialba, Costa Rica; [Castellano-Castro, Carolina; Garcia, Daniel Hernan; Garcia, Hernando; Nieto, Jhon Edison; Aguilar-Cano, Jose; Norden, Natalia; Rodriguez-Buritica, Susana] Inst Invest Recursos Biol Alexander von Humboldt, 16-20 Ave Circunvalar, Bogota, Colombia; [Dent, Daisy H.] Univ Stirling, Biol &amp; Environm Sci, Stirling FK9 4LA, Scotland; [Dent, Daisy H.] Max Planck Inst Anim Behav, Constance, Germany; [Dent, Daisy H.; van Breugel, Michiel] Smithsonian Trop Res Inst, Roosevelt Ave 401 Balboa, Ancon, Panama; [Kennard, Deborah] Colorado Mesa Univ, Dept Phys &amp; Environm Sci, 1100 North Ave, Grand Junction, CO 81501 USA; [Broadbent, Eben N.] Univ Florida, Sch Forest Resources &amp; Conservat, Spatial Ecol &amp; Conservat Lab, Gainesville, FL 32611 USA; [Ortiz-Malavassi, Edgar] Inst Tecnol Costa Rica, Escuela Ingn Forestal, Cartago, Costa Rica; [Lebrija-Trejos, Edwin] Univ Haifa, Fac Nat Sci, Dept Biol &amp; Environm, IL-36006 Tivon, Israel; [Berenguer, Erika] Univ Oxford, Sch Geog &amp; Environm, Environm Change Inst, Oxford OX1 3QY, England; [Berenguer, Erika; Barlow, Jos] Univ Lancaster, Lancaster Environm Ctr, Lancaster LA1 4YQ, England; [Marin-Spiotta, Erika] Univ Wisconsin, Dept Geog, 550 North Pk St, Madison, WI 53706 USA; [Alvarez-Davila, Esteban] Univ Nacl Abierta &amp; Distancia, Escuela ECAPMA, Bogota, Colombia; [Sampaio, Everardo Valadares de Sa] Univ Fed Pernambuco, Dept Energia Nucl CTG, Av Prof Luis Freire 1000, BR-50740540 Recife, PE, Brazil; [Elias, Fernando] Univ Fed Para, Inst Ciencias Biol, Programa Posgrad Ecol, Belem, Para, Brazil; [Franca, Filipe] Univ Bristol, Sch Biol Sci, 24 Tyndall Ave, Bristol BS8 1TQ, Avon, England; [Oberleitner, Florian] Univ Innsbruck, Dept Ecol, Sternwartestr 15, A-6020 Innsbruck, Austria; [Mora, Francisco; Rodriguez-Velazquez, Jorge; Martinez-Ramos, Miguel; Perez-Cardenas, Nathalia; Balvanera, Patricia] Univ Nacl Autonoma Mexico, Inst Invest Ecosistemas &amp; Sustentabilidad, Morelia 58089, Michoacan, Mexico; [Williamson, G. Bruce; Massoca, Paulo; Mesquita, Rita; Bentos, Tony Vizcarra] Inst Nacl de Pesquisas da Amazonia, Environm Dynam Res Coordinat, Biol Dynam Forest Fragments Project, BR-69067375 Manaus, Amazonas, Brazil; [Williamson, G. Bruce] Louisiana State Univ, Dept Biol Sci, Baton Rouge, LA 70803 USA; [Dalla Colletta, Gabriel] Univ Estadual Campinas, Inst Biol, UNICAMP, BR-13083970 Campinas, SP, Brazil; [Derroire, Geraldine; Petronelli, Pascal] Univ Antilles, Univ Guyane, Inrae, CIRAD,UMR EcoFoG,AgroParistech,CNRS, Campus Agron, Kourou, French Guiana; [Fernandes, Geraldo Wilson] Univ Fed Minas Gerais, ICB, Ecol Evolut &amp; Biodiversidade DBG, Belo Horizonte, MG, Brazil; [van Der Wal, Hans] Colegio la Frontera Sur, Dept Agr Soc &amp; Ambiente, Unidad Villahermosa, Centro 86280, Tabasco, Mexico; [Teixeira, Heitor Mancini] Univ Utrecht, Copernicus Inst Sustainable Dev, Utrecht, Netherlands; [Vester, Henricus F. M.] Univ Amsterdam, Inst Biodivers &amp; Ecosyst Dynam IBED, POB 94248, NL-1090 GE Amsterdam, Netherlands; [Vieira, Ima C. G.] Museu Paraense Emilio Goeldi, CP 399, BR-66040170 Belem, Para, Brazil; [Jimenez-Montoya, Jaider] Univ Antioquia, Inst Biol, Antioquia, Colombia; [Hall, Jefferson S.] Smithsonian Trop Res Inst, SI ForestGEO, Roosevelt Ave 401 Balboa, Ancon, Panama; [Chave, Jerome] Univ Paul Sabatier, CNRS, UMR5174, Lab Evolut &amp; Diversite Biol, Batiment 4R1,118 Route Narbonne, F-31062 Toulouse 9, France; [Zimmerman, Jess K.] Univ Puerto Rico, Dept Environm Sci, Rio Piedras Campus, San Juan, PR 00936 USA; [Ferreira, Joice] Embrapa Amazonia Oriental, BR-66095903 Belem, Para, Brazil; [Ruiz, Jorge] Convenio Univ Pedag &amp; Tecnol Colombia, Programa Estudios Posgrad Geog, Inst Geog Agustin Codazzi, Bogota, Colombia; [Engel, Julien] Univ Montpellier, INRA, CNRS, CIRAD,IRD,AMAP, Blvd Lironde,TA A-51-PS2, F-34398 Montpellier 5, France; [Becknell, Justin M.] Colby Coll, Environm Studies Program, 4000 Mayflower Hill, Waterville, ME 04901 USA; [Zanini, Katia; Muller, Sandra C.] Univ Fed Rio Grande do Sul, Inst Biociencias, Dept Ecol, BR-91540000 Porto Alegre, RS, Brazil; [Lohbeck, Madelon] Ctr Int Forestry Res &amp; World Agroforestry CIFOR I, United Nations Ave, Nairobi, Kenya; [Uriarte, Maria] Columbia Univ, Dept Ecol Evolut &amp; Environm Biol, New York, NY 10027 USA; [Veloso, Maria D. M.; Espirito-Santo, Mario M.; Nunes, Yule R. F.] Univ Estadual Montes Claros, Dept Biol Geral, BR-39401089 Montes Claros, MG, Brazil; [van Breugel, Michiel] Yale NUS Coll, 16 Coll Ave West, Singapore 138610, Singapore; [van Breugel, Michiel] Natl Univ Singapore, Dept Biol Sci, 14 Sci Dr 4, Singapore 117543, Singapore; [Schwartz, Naomi B.] Univ British Columbia, Dept Geog, Vancouver, BC V6T 1Z2, Canada; [Perez-Cardenas, Nathalia] Univ Zurich, Dept Geog, Winterthurerstr 190, CH-8057 Zurich, Switzerland; [Gonzalez-Valdivia, Noel] Tecnol Nacl Mexico, Dept Ingn, Inst Tecnol China, Calle 11 S-N Entre 22 &amp; 28, Campeche 24520, Campeche, Mexico; [Brancalion, Pedro H. S.; Cesar, Ricardo G.; Moreno, Vanessa de S.] Univ Sao Paulo, Luiz de Queiroz Coll Agr, Dept Forest Sci, Av Padua Dias 11, BR-13418900 Sao Paulo, Brazil; [Villa, Pedro M.] Fdn Conservac Biodiversidad PROBIODIVERSA, Merida 5101, Merida, Venezuela; [Hietz, Peter] Univ Nat Resources &amp; Life Sci, Inst Bot, Vienna, Austria; [Ostertag, Rebecca] Univ Hawaii, Dept Biol, Hilo, HI 96720 USA; [Lopez-Camacho, Rene] Univ Dist Francisco Jose de Caldas, Fac Medio Ambiente &amp; Recursos Nat, Carrera 5 Este 15-82, Bogota, Colombia; [Chazdon, Robin L.] Univ Connecticut, Dept Ecol &amp; Evolutionary Biol, U-43,75 North Eagleville Rd, Storrs, CT 06269 USA; [Chazdon, Robin L.] Univ Sunshine Coast, Trop Forests &amp; People Res Ctr, Maroochydore, Qld 4558, Australia; [DeWalt, Saara J.] Clemson Univ, Dept Biol Sci, 132 Long Hall, Clemson, SC 29634 USA; [Duran, Sandra M.] Univ Minnesota, Dept Ecol &amp; Evolutionary Biol, St Paul, MN 55455 USA; [Duran, Sandra M.] Univ Alberta, Earth &amp; Atmospher Sci Dept, Edmonton, AB T6G 2EG, Canada; [Martins, Sebastiao Venancio] Univ Fed Vicosa, Dept Engn Florestal, Lab Restauracao Florestal, Vicosa, MG, Brazil; [Aide, T. Mitchell] Univ Puerto Rico, Dept Biol, POB 23360, San Juan, PR 00931 USA; [Thomas, Wayt] New York Bot Garden, Inst Systemat Bot, 2900 Southern Blvd, Bronx, NY 10458 USA; [Silver, Whendee L.] Univ Calif Berkeley, Ecosyst Sci Div, Dept Environm Sci Policy &amp; Management, Berkeley, CA 94707 USA</t>
  </si>
  <si>
    <t>Universidade Federal de Santa Catarina (UFSC); Wageningen University &amp; Research; Universidad Nacional Autonoma de Mexico; Centro de Investigacion Cientifica de Yucatan; Universidade Federal do Sul da Bahia; Wageningen University &amp; Research; Wageningen University &amp; Research; Universidad Mayor; Universidade Federal da Paraiba; Universidade Federal de Santa Catarina (UFSC); Universidade Federal de Vicosa; Autonomous University of Barcelona; State University System of Florida; University of Florida; Universidade Federal de Pernambuco; Centre National de la Recherche Scientifique (CNRS); CIRAD; INRAE; Institut de Recherche pour le Developpement (IRD); Universite de Montpellier; Alliance; International Center for Tropical Agriculture - CIAT; University of Stirling; Max Planck Society; Smithsonian Institution; Smithsonian Tropical Research Institute; State University System of Florida; University of Florida; Instituto Tecnologico de Costa Rica; University of Haifa; University of Oxford; N8 Research Partnership; Lancaster University; University of Wisconsin System; University of Wisconsin Madison; Universidade Federal de Pernambuco; Universidade Federal do Para; University of Bristol; University of Innsbruck; Universidad Nacional Autonoma de Mexico; Institute Nacional de Pesquisas da Amazonia; Louisiana State University System; Louisiana State University; Universidade Estadual de Campinas; AgroParisTech; CIRAD; INRAE; Universidade Federal de Minas Gerais; Utrecht University; University of Amsterdam; Museu Paraense Emilio Goeldi; Universidad de Antioquia; Smithsonian Institution; Smithsonian Tropical Research Institute; Centre National de la Recherche Scientifique (CNRS); Universite de Toulouse; Universite Toulouse III - Paul Sabatier; University of Puerto Rico; University of Puerto Rico Rio Piedras; Empresa Brasileira de Pesquisa Agropecuaria (EMBRAPA); Centre National de la Recherche Scientifique (CNRS); CIRAD; INRAE; Institut de Recherche pour le Developpement (IRD); Universite de Montpellier; Colby College; Universidade Federal do Rio Grande do Sul; Columbia University; Universidade Estadual de Montes Claros; Yale NUS College; National University of Singapore; University of British Columbia; University of Zurich; Universidade de Sao Paulo; University of Natural Resources &amp; Life Sciences, Vienna; University of Hawaii System; University Hawaii Hilo; Universidad Distrital Francisco Jose de Caldas; University of Connecticut; University of the Sunshine Coast; Clemson University; University of Minnesota System; University of Minnesota Twin Cities; University of Alberta; Universidade Federal de Vicosa; University of Puerto Rico; University of Puerto Rico Medical Sciences Campus; New York Botanical Garden; University of California System; University of California Berkeley</t>
  </si>
  <si>
    <t>Jakovac, CC (corresponding author), Univ Fed Santa Catarina, Ctr Ciencias Agr, Dept Fitotecnia, Rod Admar Gonzaga 1346, BR-88034000 Florianopolis, SC, Brazil.;Jakovac, CC (corresponding author), Wageningen Univ &amp; Res, Forest Ecol &amp; Forest Management Grp, POB 47, NL-6700 AA Wageningen, Netherlands.</t>
  </si>
  <si>
    <t>catacj@gmail.com</t>
  </si>
  <si>
    <t>Dent, Daisy H/L-3549-2016; Massoca, Paulo/A-4325-2015; Zambiazi, Daisy Christiane/I-7397-2017; Villa, Pedro M/S-3363-2019; Sampaio, Everardo VSB/B-7988-2013; Ostertag, Rebecca/B-1756-2013; Pinho, Bruno X./S-3074-2018; de Jong, Ben HJ/GYV-3632-2022; Silver, Whendee/H-1118-2012; Junqueira, Andre Braga/M-1142-2016; Piotto, Daniel/V-1232-2019; Tabarelli, Marcelo/F-1088-2010; Hernandez-Stefanoni, J Luis/B-3958-2008; Müller, Sandra/G-3739-2012; Barlow, Jos/HGE-9486-2022; Pérez-García, Eduardo A./A-6517-2008; Becknell, Justin M/D-4577-2016; Mancini Teixeira, Heitor/AAV-9316-2021; Derroire, Géraldine/I-8959-2012; Siminski, Alexandre/A-5943-2008; Lohbeck, Madelon/M-6390-2014; Santos, Braulio/M-2582-2013; Elias, Fernando/P-4400-2014; Franca, Filipe/G-1545-2016; Jakovac, Catarina/P-7599-2018</t>
  </si>
  <si>
    <t>Dent, Daisy H/0000-0002-1219-7344; Massoca, Paulo/0000-0001-6396-8244; Zambiazi, Daisy Christiane/0000-0001-9774-7335; Villa, Pedro M/0000-0003-4826-3187; Sampaio, Everardo VSB/0000-0002-4745-016X; Pinho, Bruno X./0000-0002-6588-3575; Silver, Whendee/0000-0003-0372-8745; Junqueira, Andre Braga/0000-0003-3681-1705; Piotto, Daniel/0000-0002-6505-0098; Tabarelli, Marcelo/0000-0001-7573-7216; Müller, Sandra/0000-0002-6316-2897; Mancini Teixeira, Heitor/0000-0001-6992-0671; Derroire, Géraldine/0000-0001-7239-2881; Lohbeck, Madelon/0000-0002-3959-1800; Santos, Braulio/0000-0001-6046-4024; Letcher, Susan/0000-0002-9475-7674; Vizcarra Bentos, Tony/0000-0002-4673-956X; Elias, Fernando/0000-0001-9190-1733; Rodriguez-Buritica, Susana/0000-0001-8175-1057; Siminski, Alexandre/0000-0001-6141-6040; Meave del Castillo, Jorge Arturo/0000-0002-6241-8803; Franca, Filipe/0000-0003-3827-1917; Pena-Claros, Marielos/0000-0001-9134-6733; Jakovac, Catarina/0000-0002-8130-852X; Rozendaal, Danae/0000-0002-3007-3222; Marin-Spiotta, Erika/0000-0001-7343-9354; Bongers, Frans/0000-0002-8431-6189; Craven, Dylan/0000-0003-3940-833X</t>
  </si>
  <si>
    <t>Agencia Nacional de Investigacion y Desarrollo, FONDECYT [1201347]; Apasia Grant [015.014.006]; BNP Paribas Foundation's Climate and Biodiversity Initiative (Project Bioclimate); Colciencias grant [1243-13]; Consejo Nacional de Ciencia y Tecnologia [SEMARNAT-2002-C01-0267, CB-2009-01-128136]; SEP-CONACYT [2009-129740, 2015-255544]; CONACYT-PRONACE [F003-2022-319065]; Conselho Nacional de Desenvolvimento Cientifico e Tecnologico, Brazil; Edital SINBIOSE grants [442371/2019-5-Regenera, 442354/2019-3-Synergize, 302113/2021-5, 141730/2006-4, 201423/2007-3, 308471/2017-12, 441949/2018-5-Sem-Flama, 420254/2018-8-Resflora, 441659/2016-0, 441573/2020-7-PELD-RAS]; European Research Council-ERC [PANTROP 834775 519]; FAPESPA: BJT-FAPESPA Program [2021/658588]; Fondo Mixto CONACYT-Gobierno del estado de Yucatan, FOMIX [YUC-2008-C06-108863]; Foundation Het Kronendak; Foundation Tropenbos; Fundacao de Amparo a Ciencia de Santa Catarina-FAPESC [01/2006]; Fundacao de Amparo a Pesquisa de Minas Gerais (FAPEMIG); Global Environment Facility-GEF [VEN/SGP/2010-2015]; Grantham Foundation for the Environment; HSBC Climate partnership; Instituto Nacional de Investigaciones Agricolas, INIA-Amazonas; Inter-American Development Bank [ATN/BD-15408-CO]; Investissement d'Avenir grants (CEBA) [ANR-10-LABX-25-01]; Investissement d'Avenir grants (TULIP) [ANR-10-LABX-0041]; ESA CCI-Biomass; CNES; NASA Terrestrial Ecology Program; University of Connecticut Research Foundation; Andrew W. Mellon Foundation; NSF (USA) [DEB-9208031, DEB-0639114, DEB-1147434, DEB-0424767, DEB-0639393, DEB-1147429]; Netherlands Organisation for Scientific Research-NWO [NWO-ALW.OP241, ALWOP.457, 863.15.017, Veni.192.027]; NWO-FAPESP grant [17418]; Organization for Tropical Studies Graduate Fellowship; Programa de Capacitacao Institucional of the Instituto Nacional de Pesquisas da Amazonia-INPA, Brazil; Rainforest Luxemburg; COBIGA; Singapore's Ministry of Education; Yale-NUS College [IG16-LR004]; YNC startup grant; United Nations Development Program, Venezuela; United Nations Programme for Development; Global Environmental Facility; Universidad Nacional Autonoma de Mexico-Programa de Apoyo de Proyectos de Investigacion e Innovacion Tecnologica [IN216007, IN218416, IN217620, IN-211417]; UNAM-PAPIIT grant [IN-211417]</t>
  </si>
  <si>
    <t>Agencia Nacional de Investigacion y Desarrollo, FONDECYT; Apasia Grant; BNP Paribas Foundation's Climate and Biodiversity Initiative (Project Bioclimate); Colciencias grant(Departamento Administrativo de Ciencia, Tecnologia e Innovacion Colciencias); Consejo Nacional de Ciencia y Tecnologia(Consejo Nacional de Ciencia y Tecnologia (CONACyT)); SEP-CONACYT(Consejo Nacional de Ciencia y Tecnologia (CONACyT)); CONACYT-PRONACE; Conselho Nacional de Desenvolvimento Cientifico e Tecnologico, Brazil(Conselho Nacional de Desenvolvimento Cientifico e Tecnologico (CNPQ)); Edital SINBIOSE grants; European Research Council-ERC(European Research Council (ERC)European Commission); FAPESPA: BJT-FAPESPA Program(Fundacao Amazonia de Amparo a Estudos e Pesquisas (FAPESPA)); Fondo Mixto CONACYT-Gobierno del estado de Yucatan, FOMIX; Foundation Het Kronendak; Foundation Tropenbos; Fundacao de Amparo a Ciencia de Santa Catarina-FAPESC(Fundacao de Amparo a Pesquisa e Inovacoo Estado de Santa Catarina (FAPESC)); Fundacao de Amparo a Pesquisa de Minas Gerais (FAPEMIG)(Fundacao de Amparo a Pesquisa do Estado de Minas Gerais (FAPEMIG)); Global Environment Facility-GEF; Grantham Foundation for the Environment; HSBC Climate partnership; Instituto Nacional de Investigaciones Agricolas, INIA-Amazonas; Inter-American Development Bank; Investissement d'Avenir grants (CEBA)(French National Research Agency (ANR)); Investissement d'Avenir grants (TULIP)(French National Research Agency (ANR)); ESA CCI-Biomass; CNES(Centre National D'etudes Spatiales); NASA Terrestrial Ecology Program(National Aeronautics &amp; Space Administration (NASA)); University of Connecticut Research Foundation; Andrew W. Mellon Foundation; NSF (USA)(National Science Foundation (NSF)); Netherlands Organisation for Scientific Research-NWO(Netherlands Organization for Scientific Research (NWO)); NWO-FAPESP grant; Organization for Tropical Studies Graduate Fellowship; Programa de Capacitacao Institucional of the Instituto Nacional de Pesquisas da Amazonia-INPA, Brazil; Rainforest Luxemburg; COBIGA; Singapore's Ministry of Education(Ministry of Education, Singapore); Yale-NUS College; YNC startup grant; United Nations Development Program, Venezuela; United Nations Programme for Development; Global Environmental Facility; Universidad Nacional Autonoma de Mexico-Programa de Apoyo de Proyectos de Investigacion e Innovacion Tecnologica; UNAM-PAPIIT grant</t>
  </si>
  <si>
    <t>This work was supported by the following: Agencia Nacional de Investigacion y Desarrollo, FONDECYT Regular No. 1201347 (to D.C.); Apasia Grant 015.014.006 (to M.P.-C.); BNP Paribas Foundation's Climate and Biodiversity Initiative (Project Bioclimate) (to F.F.); Colciencias grant 1243-13 (to J.R.); Consejo Nacional de Ciencia y Tecnologia, grants SEMARNAT-2002-C01-0267 and CB-2009-01-128136 (to J.A.M.), SEP-CONACYT 2009-129740 and 2015-255544 (to F.Mo., N.P.-C., and P.B.), and CONACYT-PRONACE F003-2022-319065 (to P.B.); Conselho Nacional de Desenvolvimento Cientifico e Tecnologico, Brazil; Edital SINBIOSE grants 442371/2019-5-Regenera (to C.C.J. and R.Me.) and 442354/2019-3-Synergize (to J.F., F.F., F.E., and J.B.) and grants 302113/2021-5 (to T.V.B.), 141730/2006-4 (to A.S.), 201423/2007-3 (to A.S.), 308471/2017-12 (to M.M.E.-S.), 441949/2018-5-Sem-Flama (to J.F., F.F., F.E., and J.B.), 420254/2018-8-Resflora (to J.F., F.F., F.E., and J.B.), 441659/2016-0 (to J.F., F.F., F.E., and J.B.), and 441573/2020-7-PELD-RAS (to J.F., F.F., F.E., and J.B.); European Research Council-ERC, Advanced Grant PANTROP 834775 519 (to L.P. and C.C.J.); FAPESPA: BJT-FAPESPA Program grant 2021/658588 (to F. E.); Fondo Mixto CONACYT-Gobierno del estado de Yucatan, FOMIX YUC-2008-C06-108863 (to J.L.H.-S. and J.M.D.); Foundation Het Kronendak (to H.F.M.V. and C.C.J.); Foundation Tropenbos (to H.F.M.V. and C.C.J.); Fundacao de Amparo a Ciencia de Santa Catarina-FAPESC, grant Edital n degrees 01/2006 (to A.S.); Fundacao de Amparo a Pesquisa de Minas Gerais (FAPEMIG) (to M.M.E.-S.); Global Environment Facility-GEF, grant VEN/SGP/2010-2015 (to P.M.V.); Grantham Foundation for the Environment (to J.S.H.); HSBC Climate partnership (to J.S.H.); Instituto Nacional de Investigaciones Agricolas, INIA-Amazonas (to P.M.V.); Inter-American Development Bank (Cooperation #ATN/BD-15408-CO) (to N.N.); Investissement d'Avenir grants (CEBA, ref. ANR-10-LABX-25-01; TULIP, ref. ANR-10-LABX-0041) and ESA CCI-Biomass and CNES (to J.C.); NASA Terrestrial Ecology Program, University of Connecticut Research Foundation, and Andrew W. Mellon Foundation (to R.L.C.); NSF (USA): Graduate Fellowship (to S.G.L.), grant DEB-9208031 (to S.J.D. and D.D.), and grants DEB-0639114, DEB-1147434, DEB-0424767, DEB-0639393, and DEB-1147429 (to R.L.C.); Netherlands Organisation for Scientific Research-NWO, grant NWO-ALW.OP241 (to C.C.J., L.P., and M.T.v.d.S.), grant ALWOP.457 (to F.B. and R.Mu), grant ALW grant 863.15.017 (to M.L.), and grant Veni.192.027 (to M.T.v.d.S.); NWO-FAPESP grant 17418 (NEWFOR Project; to P.H.S.B. and F.B.); Organization for Tropical Studies Graduate Fellowship (to S.G.L.); Programa de Capacitacao Institucional of the Instituto Nacional de Pesquisas da Amazonia-INPA, Brazil (to T.V.B.); Rainforest Luxemburg and COBIGA (to P.H.); Singapore's Ministry of Education and Yale-NUS College, grant IG16-LR004 and YNC startup grant (to M.v.B.); United Nations Development Program, Venezuela (to P.M.V.); United Nations Programme for Development and the Global Environmental Facility (Proyecto Uso Sostenible y conservacion de la biodiversidad en ecosistemas secos) (to N.N.); Universidad Nacional Autonoma de Mexico-Programa de Apoyo de Proyectos de Investigacion e Innovacion Tecnologica, grants IN216007, IN218416, IN217620 (to J.A.M.), and IN-211417 (to F.Mo and N.P.-C.); and UNAM-PAPIIT grant IN-211417 (to N.P.-C., P.B., and F.Mo).</t>
  </si>
  <si>
    <t>[Anonymous], MISS BOT GARD; [Anonymous], 2020, HANDROANTHUS FLORA B; [Anonymous], 2001, MACH LEARN; Antonelli A, 2018, P NATL ACAD SCI USA, V115, P6034, DOI 10.1073/pnas.1713819115; Antonelli A, 2017, NAT ECOL EVOL, V1, DOI 10.1038/s41559-017-0114; Arevalo-Marin E, 2021, FRONT PLANT SCI, V12, DOI 10.3389/fpls.2021.714763; Baldeck CA, 2016, ECOGRAPHY, V39, P1089, DOI 10.1111/ecog.01575; Banda-R K, 2016, SCIENCE, V353, P1383, DOI 10.1126/science.aaf5080; Barlow J, 2008, PHILOS T R SOC B, V363, P1787, DOI 10.1098/rstb.2007.0013; Baselga A, 2015, METHODS ECOL EVOL, V6, P1069, DOI 10.1111/2041-210X.12388; Hurtado-M AB, 2021, J ECOL, V109, P1468, DOI 10.1111/1365-2745.13570; Bloomfield NJ, 2018, ECOGRAPHY, V41, P1, DOI 10.1111/ecog.02596; Boyle B, 2013, BMC BIOINFORMATICS, V14, DOI 10.1186/1471-2105-14-16; Buchhorn M, 2020, REMOTE SENS-BASEL, V12, DOI 10.3390/rs12061044; Byng JW, 2016, BOT J LINN SOC, V181, P1, DOI 10.1111/boj.12385; Camargo PHSA, 2020, J APPL ECOL, V57, P2329, DOI 10.1111/1365-2664.13697; Cardoso D, 2017, P NATL ACAD SCI USA, V114, P10695, DOI 10.1073/pnas.1706756114; Chao AN, 2013, METHODS ECOL EVOL, V4, P1091, DOI 10.1111/2041-210X.12108; Chave J., LONG TERM CLIMATIC W; Chazdon RL, 2016, SCI ADV, V2, DOI 10.1126/sciadv.1501639; Christensen AP, 2018, R J, V10, P422; CLARKE KR, 1993, AUST J ECOL, V18, P117, DOI 10.1111/j.1442-9993.1993.tb00438.x; Core Team R., 2013, R LANG ENV STAT COMP; Crouzeilles R, 2016, J APPL ECOL, V53, P440, DOI 10.1111/1365-2664.12590; Csardi G., 2006, COMPLEX SYST, V1695, P1; Cupertino-Eisenlohr MA, 2021, J VEG SCI, V32, DOI 10.1111/jvs.13026; Cupertino-Eisenlohr MA, 2021, APPL VEG SCI, V24, DOI 10.1111/avsc.12522; Danielson J. J., 2011, GLOBAL MULTIRESOLUTI, DOI DOI 10.3133/OFR20111073; Dapporto L, 2013, ECOGRAPHY, V36, P1070, DOI 10.1111/j.1600-0587.2013.00444.x; Solar RRD, 2015, ECOL LETT, V18, P1108, DOI 10.1111/ele.12494; Dexter KG, 2018, FRONT ECOL EVOL, V6, DOI 10.3389/fevo.2018.00104; Ledo RMD, 2017, J BIOGEOGR, V44, P2551, DOI 10.1111/jbi.13049; Ellis EC, 2021, P NATL ACAD SCI USA, V118, DOI 10.1073/pnas.2023483118; Ellis EC, 2010, GLOBAL ECOL BIOGEOGR, V19, P589, DOI 10.1111/j.1466-8238.2010.00540.x; Esquivel-Muelbert A, 2017, ECOGRAPHY, V40, P618, DOI 10.1111/ecog.01904; FAO, 2001, GLOB EC ZON GLOB FOR; Ficetola GF, 2017, NAT ECOL EVOL, V1, DOI 10.1038/s41559-017-0089; Filgueiras BKC, 2021, TRENDS ECOL EVOL, V36, P545, DOI 10.1016/j.tree.2021.02.006; Fine PVA, 2018, P NATL ACAD SCI USA, V115, P5829, DOI 10.1073/pnas.1807012115; Franco-Rosselli Pilar, 1997, Caldasia, V19, P285; GENTRY AH, 1982, ANN MO BOT GARD, V69, P557, DOI 10.2307/2399084; Gentry Alwyn H., 1995, P146, DOI 10.1017/CBO9780511753398.007; Genuer R., 2019, VSURF R PACKAGE; Genuer R, 2010, PATTERN RECOGN LETT, V31, P2225, DOI 10.1016/j.patrec.2010.03.014; Goldewijk KK, 2011, GLOBAL ECOL BIOGEOGR, V20, P73, DOI 10.1111/j.1466-8238.2010.00587.x; Griscom HP, 2011, FOREST ECOL MANAG, V261, P1564, DOI 10.1016/j.foreco.2010.08.027; Andino JEG, 2021, OECOLOGIA, V196, P1119, DOI 10.1007/s00442-021-04981-0; Hardy OJ, 2012, GLOBAL ECOL BIOGEOGR, V21, P1007, DOI 10.1111/j.1466-8238.2011.00742.x; Hengl T, 2017, PLOS ONE, V12, DOI 10.1371/journal.pone.0169748; Holt B, 2013, SCIENCE, V339, P74, DOI 10.1126/science.1228282; Hooper ER, 2004, ECOLOGY, V85, P3313, DOI 10.1890/03-0655; Hughes CE, 2013, BOT J LINN SOC, V171, P1, DOI 10.1111/boj.12006; Ibarra-Manriquez G, 2002, J BIOGEOGR, V29, P17, DOI 10.1046/j.1365-2699.2002.00648.x; Intergovernmental Panel on Climate Change (IPCC), 2021, CLIMATE CHANGE 2021, DOI DOI 10.1017/9781009157896; ISSG, 2021, GLOBAL INVASIVE SPEC; Jakovac CC, 2016, J VEG SCI, V27, P1104, DOI 10.1111/jvs.12457; Jones P., **DATA OBJECT**, P26; Karger DN, 2017, SCI DATA, V4, DOI 10.1038/sdata.2017.122; Kennedy CM, 2019, GLOBAL CHANGE BIOL, V25, P811, DOI 10.1111/gcb.14549; Koch A, 2019, QUATERNARY SCI REV, V207, P13, DOI 10.1016/j.quascirev.2018.12.004; Letcher SG, 2015, J ECOL, V103, P1276, DOI 10.1111/1365-2745.12435; Levis C, 2017, SCIENCE, V355, P925, DOI 10.1126/science.aal0157; Lowenberg-Neto P, 2014, ZOOTAXA, V3802, P300, DOI 10.11646/zootaxa.3802.2.12; Morrone JJ, 2014, ZOOTAXA, V 3782, P1, DOI 10.11646/zootaxa.3782.1.1; Neves DM, 2020, SCI REP-UK, V10, DOI 10.1038/s41598-019-55621-w; Norden N, 2015, P NATL ACAD SCI USA, V112, P8013, DOI 10.1073/pnas.1500403112; Norden N, 2009, ECOL LETT, V12, P385, DOI 10.1111/j.1461-0248.2009.01292.x; Oliveira AT, 2013, S AFR J BOT, V89, P42, DOI 10.1016/j.sajb.2013.06.010; Oliveira-Filho AT, 2021, BIOTROPICA, V53, P767, DOI 10.1111/btp.12932; Perez-Escobar OA, 2022, TRENDS PLANT SCI, V27, P364, DOI 10.1016/j.tplants.2021.09.010; Pinho BX, 2021, GLOBAL ECOL BIOGEOGR, V30, P1430, DOI 10.1111/geb.13309; Pongratz J, 2008, GLOBAL BIOGEOCHEM CY, V22, DOI 10.1029/2007GB003153; Rozendaal DMA, 2019, SCI ADV, V5, DOI 10.1126/sciadv.aau3114; Sankaran K. V., 2021, GLOBAL REGISTER INTR; Santos AMM, 2007, J BIOGEOGR, V34, P437, DOI 10.1111/j.1365-2699.2006.01604.x; Schwartz NB, 2020, FRONT FOR GLOB CHANG, V3, DOI 10.3389/ffgc.2020.00085; Segovia RA, 2020, SCI ADV, V6, DOI 10.1126/sciadv.aaz5373; Silva AC, 2018, PLOS ONE, V13, DOI 10.1371/journal.pone.0196130; Slik JWF, 2018, P NATL ACAD SCI USA, V115, P1837, DOI 10.1073/pnas.1714977115; Tabarelli M, 2012, BIOL CONSERV, V155, P136, DOI 10.1016/j.biocon.2012.06.020; UNEP FAO, 1997, GLOB MAP AR; VENABLE DL, 1988, AM NAT, V131, P360, DOI 10.1086/284795; Venter O, 2016, SCI DATA, V3, DOI 10.1038/sdata.2016.67; Wu ZY, 2018, ECOL LETT, V21, P1515, DOI 10.1111/ele.13132; Zuquim G, 2020, PLANT SOIL, V450, P151, DOI 10.1007/s11104-018-03915-9</t>
  </si>
  <si>
    <t>AMER ASSOC ADVANCEMENT SCIENCE</t>
  </si>
  <si>
    <t>1200 NEW YORK AVE, NW, WASHINGTON, DC 20005 USA</t>
  </si>
  <si>
    <t>2375-2548</t>
  </si>
  <si>
    <t>SCI ADV</t>
  </si>
  <si>
    <t>Sci. Adv.</t>
  </si>
  <si>
    <t>JUL 1</t>
  </si>
  <si>
    <t>eabn1767</t>
  </si>
  <si>
    <t>10.1126/sciadv.abn1767</t>
  </si>
  <si>
    <t>2U8VH</t>
  </si>
  <si>
    <t>WOS:000823432200006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</si>
</sst>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6">
    <dxf>
      <fill>
        <patternFill patternType="none">
          <fgColor indexed="64"/>
          <bgColor auto="1"/>
        </patternFill>
      </fill>
    </dxf>
    <dxf>
      <font>
        <color rgb="FF006100"/>
      </font>
      <fill>
        <patternFill>
          <bgColor rgb="FFC6EFCE"/>
        </patternFill>
      </fill>
    </dxf>
    <dxf>
      <font>
        <color rgb="FF9C0006"/>
      </font>
      <fill>
        <patternFill>
          <bgColor rgb="FFFFC7CE"/>
        </patternFill>
      </fill>
    </dxf>
    <dxf>
      <fill>
        <patternFill patternType="solid">
          <fgColor rgb="FFC6EFCE"/>
          <bgColor rgb="FF000000"/>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A1:BT317" totalsRowShown="0">
  <autoFilter ref="A1:BT317"/>
  <sortState ref="A2:BT317">
    <sortCondition sortBy="cellColor" ref="W1:W317" dxfId="3"/>
  </sortState>
  <tableColumns count="72">
    <tableColumn id="1" name="Publication Type"/>
    <tableColumn id="2" name="Authors"/>
    <tableColumn id="3" name="Book Authors"/>
    <tableColumn id="4" name="Book Editors"/>
    <tableColumn id="5" name="Book Group Authors"/>
    <tableColumn id="6" name="Author Full Names"/>
    <tableColumn id="7" name="Book Author Full Names"/>
    <tableColumn id="8" name="Group Authors"/>
    <tableColumn id="9" name="Article Title"/>
    <tableColumn id="10" name="Source Title"/>
    <tableColumn id="11" name="Book Series Title"/>
    <tableColumn id="12" name="Book Series Subtitle"/>
    <tableColumn id="13" name="Language"/>
    <tableColumn id="14" name="Document Type"/>
    <tableColumn id="15" name="Conference Title"/>
    <tableColumn id="16" name="Conference Date"/>
    <tableColumn id="17" name="Conference Location"/>
    <tableColumn id="18" name="Conference Sponsor"/>
    <tableColumn id="19" name="Conference Host"/>
    <tableColumn id="20" name="Author Keywords"/>
    <tableColumn id="21" name="Keywords Plus"/>
    <tableColumn id="22" name="Abstract"/>
    <tableColumn id="23" name="Addresses" dataDxfId="0"/>
    <tableColumn id="24" name="Affiliations"/>
    <tableColumn id="25" name="Reprint Addresses"/>
    <tableColumn id="26" name="Email Addresses"/>
    <tableColumn id="27" name="Researcher Ids"/>
    <tableColumn id="28" name="ORCIDs"/>
    <tableColumn id="29" name="Funding Orgs"/>
    <tableColumn id="30" name="Funding Name Preferred"/>
    <tableColumn id="31" name="Funding Text"/>
    <tableColumn id="32" name="Cited References"/>
    <tableColumn id="33" name="Cited Reference Count"/>
    <tableColumn id="34" name="Times Cited, WoS Core"/>
    <tableColumn id="35" name="Times Cited, All Databases"/>
    <tableColumn id="36" name="180 Day Usage Count"/>
    <tableColumn id="37" name="Since 2013 Usage Count"/>
    <tableColumn id="38" name="Publisher"/>
    <tableColumn id="39" name="Publisher City"/>
    <tableColumn id="40" name="Publisher Address"/>
    <tableColumn id="41" name="ISSN"/>
    <tableColumn id="42" name="eISSN"/>
    <tableColumn id="43" name="ISBN"/>
    <tableColumn id="44" name="Journal Abbreviation"/>
    <tableColumn id="45" name="Journal ISO Abbreviation"/>
    <tableColumn id="46" name="Publication Date"/>
    <tableColumn id="47" name="Publication Year"/>
    <tableColumn id="48" name="Volume"/>
    <tableColumn id="49" name="Issue"/>
    <tableColumn id="50" name="Part Number"/>
    <tableColumn id="51" name="Supplement"/>
    <tableColumn id="52" name="Special Issue"/>
    <tableColumn id="53" name="Meeting Abstract"/>
    <tableColumn id="54" name="Start Page"/>
    <tableColumn id="55" name="End Page"/>
    <tableColumn id="56" name="Article Number"/>
    <tableColumn id="57" name="DOI"/>
    <tableColumn id="58" name="DOI Link"/>
    <tableColumn id="59" name="Book DOI"/>
    <tableColumn id="60" name="Early Access Date"/>
    <tableColumn id="61" name="Number of Pages"/>
    <tableColumn id="62" name="WoS Categories"/>
    <tableColumn id="63" name="Web of Science Index"/>
    <tableColumn id="64" name="Research Areas"/>
    <tableColumn id="65" name="IDS Number"/>
    <tableColumn id="66" name="Pubmed Id"/>
    <tableColumn id="67" name="Open Access Designations"/>
    <tableColumn id="68" name="Highly Cited Status"/>
    <tableColumn id="69" name="Hot Paper Status"/>
    <tableColumn id="70" name="Date of Export"/>
    <tableColumn id="71" name="UT (Unique WOS ID)"/>
    <tableColumn id="72" name="Web of Science Record"/>
  </tableColumns>
  <tableStyleInfo name="TableStyleLight1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317"/>
  <sheetViews>
    <sheetView tabSelected="1" topLeftCell="U1" workbookViewId="0">
      <selection activeCell="W2" sqref="W2:W317"/>
    </sheetView>
  </sheetViews>
  <sheetFormatPr baseColWidth="10" defaultColWidth="9.140625" defaultRowHeight="12.75" x14ac:dyDescent="0.2"/>
  <cols>
    <col min="1" max="1" width="18.42578125" customWidth="1"/>
    <col min="2" max="2" width="10" customWidth="1"/>
    <col min="3" max="3" width="15.140625" customWidth="1"/>
    <col min="4" max="4" width="14.42578125" customWidth="1"/>
    <col min="5" max="5" width="21.28515625" customWidth="1"/>
    <col min="6" max="6" width="19.85546875" customWidth="1"/>
    <col min="7" max="7" width="25" customWidth="1"/>
    <col min="8" max="8" width="16.140625" customWidth="1"/>
    <col min="9" max="9" width="13.5703125" customWidth="1"/>
    <col min="10" max="10" width="14.140625" customWidth="1"/>
    <col min="11" max="11" width="18.5703125" customWidth="1"/>
    <col min="12" max="12" width="21.5703125" customWidth="1"/>
    <col min="13" max="13" width="12.28515625" customWidth="1"/>
    <col min="14" max="14" width="17.28515625" customWidth="1"/>
    <col min="15" max="15" width="18.140625" customWidth="1"/>
    <col min="16" max="16" width="18.28515625" customWidth="1"/>
    <col min="17" max="17" width="22" customWidth="1"/>
    <col min="18" max="18" width="21.5703125" customWidth="1"/>
    <col min="19" max="19" width="18" customWidth="1"/>
    <col min="20" max="20" width="18.5703125" customWidth="1"/>
    <col min="21" max="21" width="16.42578125" customWidth="1"/>
    <col min="22" max="22" width="10.42578125" customWidth="1"/>
    <col min="23" max="23" width="29.5703125" customWidth="1"/>
    <col min="24" max="24" width="12.7109375" customWidth="1"/>
    <col min="25" max="25" width="19.42578125" customWidth="1"/>
    <col min="26" max="26" width="18" customWidth="1"/>
    <col min="27" max="27" width="16.5703125" customWidth="1"/>
    <col min="28" max="28" width="9.85546875" customWidth="1"/>
    <col min="29" max="29" width="15.28515625" customWidth="1"/>
    <col min="30" max="30" width="25.5703125" customWidth="1"/>
    <col min="31" max="31" width="15.140625" customWidth="1"/>
    <col min="32" max="32" width="18.5703125" customWidth="1"/>
    <col min="33" max="33" width="23.5703125" customWidth="1"/>
    <col min="34" max="34" width="24.140625" customWidth="1"/>
    <col min="35" max="35" width="27.28515625" customWidth="1"/>
    <col min="36" max="36" width="22.140625" customWidth="1"/>
    <col min="37" max="37" width="24.85546875" customWidth="1"/>
    <col min="38" max="38" width="11.7109375" customWidth="1"/>
    <col min="39" max="39" width="15.7109375" customWidth="1"/>
    <col min="40" max="40" width="19.42578125" customWidth="1"/>
    <col min="41" max="43" width="9.140625" customWidth="1"/>
    <col min="44" max="44" width="22.140625" customWidth="1"/>
    <col min="45" max="45" width="26" customWidth="1"/>
    <col min="46" max="47" width="18.140625" customWidth="1"/>
    <col min="48" max="48" width="10.140625" customWidth="1"/>
    <col min="49" max="49" width="9.140625" customWidth="1"/>
    <col min="50" max="50" width="14.5703125" customWidth="1"/>
    <col min="51" max="51" width="14.140625" customWidth="1"/>
    <col min="52" max="52" width="15.140625" customWidth="1"/>
    <col min="53" max="53" width="18.28515625" customWidth="1"/>
    <col min="54" max="54" width="12.7109375" customWidth="1"/>
    <col min="55" max="55" width="11.85546875" customWidth="1"/>
    <col min="56" max="56" width="16.7109375" customWidth="1"/>
    <col min="57" max="57" width="9.140625" customWidth="1"/>
    <col min="58" max="58" width="10.85546875" customWidth="1"/>
    <col min="59" max="59" width="11.5703125" customWidth="1"/>
    <col min="60" max="60" width="19.140625" customWidth="1"/>
    <col min="61" max="61" width="18.7109375" customWidth="1"/>
    <col min="62" max="62" width="17.7109375" customWidth="1"/>
    <col min="63" max="63" width="23.140625" customWidth="1"/>
    <col min="64" max="64" width="17.28515625" customWidth="1"/>
    <col min="65" max="65" width="14" customWidth="1"/>
    <col min="66" max="66" width="13" customWidth="1"/>
    <col min="67" max="67" width="26.85546875" customWidth="1"/>
    <col min="68" max="68" width="20.28515625" customWidth="1"/>
    <col min="69" max="69" width="18.28515625" customWidth="1"/>
    <col min="70" max="70" width="16" customWidth="1"/>
    <col min="71" max="71" width="21.28515625" customWidth="1"/>
    <col min="72" max="72" width="24.42578125" customWidth="1"/>
  </cols>
  <sheetData>
    <row r="1" spans="1:72"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row r="2" spans="1:72" x14ac:dyDescent="0.2">
      <c r="A2" t="s">
        <v>72</v>
      </c>
      <c r="B2" t="s">
        <v>1470</v>
      </c>
      <c r="C2" t="s">
        <v>74</v>
      </c>
      <c r="D2" t="s">
        <v>74</v>
      </c>
      <c r="E2" t="s">
        <v>74</v>
      </c>
      <c r="F2" t="s">
        <v>1471</v>
      </c>
      <c r="G2" t="s">
        <v>74</v>
      </c>
      <c r="H2" t="s">
        <v>74</v>
      </c>
      <c r="I2" t="s">
        <v>1472</v>
      </c>
      <c r="J2" t="s">
        <v>1473</v>
      </c>
      <c r="K2" t="s">
        <v>74</v>
      </c>
      <c r="L2" t="s">
        <v>74</v>
      </c>
      <c r="M2" t="s">
        <v>78</v>
      </c>
      <c r="N2" t="s">
        <v>79</v>
      </c>
      <c r="O2" t="s">
        <v>74</v>
      </c>
      <c r="P2" t="s">
        <v>74</v>
      </c>
      <c r="Q2" t="s">
        <v>74</v>
      </c>
      <c r="R2" t="s">
        <v>74</v>
      </c>
      <c r="S2" t="s">
        <v>74</v>
      </c>
      <c r="T2" t="s">
        <v>1474</v>
      </c>
      <c r="U2" t="s">
        <v>74</v>
      </c>
      <c r="V2" t="s">
        <v>1475</v>
      </c>
      <c r="W2" s="1" t="s">
        <v>1476</v>
      </c>
      <c r="X2" t="s">
        <v>84</v>
      </c>
      <c r="Y2" t="s">
        <v>1477</v>
      </c>
      <c r="Z2" t="s">
        <v>1478</v>
      </c>
      <c r="AA2" t="s">
        <v>74</v>
      </c>
      <c r="AB2" t="s">
        <v>74</v>
      </c>
      <c r="AC2" t="s">
        <v>74</v>
      </c>
      <c r="AD2" t="s">
        <v>74</v>
      </c>
      <c r="AE2" t="s">
        <v>74</v>
      </c>
      <c r="AF2" t="s">
        <v>1479</v>
      </c>
      <c r="AG2">
        <v>47</v>
      </c>
      <c r="AH2">
        <v>0</v>
      </c>
      <c r="AI2">
        <v>0</v>
      </c>
      <c r="AJ2">
        <v>0</v>
      </c>
      <c r="AK2">
        <v>0</v>
      </c>
      <c r="AL2" t="s">
        <v>1480</v>
      </c>
      <c r="AM2" t="s">
        <v>1481</v>
      </c>
      <c r="AN2" t="s">
        <v>1482</v>
      </c>
      <c r="AO2" t="s">
        <v>1483</v>
      </c>
      <c r="AP2" t="s">
        <v>1484</v>
      </c>
      <c r="AQ2" t="s">
        <v>74</v>
      </c>
      <c r="AR2" t="s">
        <v>1485</v>
      </c>
      <c r="AS2" t="s">
        <v>1486</v>
      </c>
      <c r="AT2" t="s">
        <v>1487</v>
      </c>
      <c r="AU2">
        <v>2022</v>
      </c>
      <c r="AV2">
        <v>63</v>
      </c>
      <c r="AW2">
        <v>2</v>
      </c>
      <c r="AX2" t="s">
        <v>74</v>
      </c>
      <c r="AY2" t="s">
        <v>74</v>
      </c>
      <c r="AZ2" t="s">
        <v>74</v>
      </c>
      <c r="BA2" t="s">
        <v>74</v>
      </c>
      <c r="BB2">
        <v>12</v>
      </c>
      <c r="BC2">
        <v>40</v>
      </c>
      <c r="BD2" t="s">
        <v>74</v>
      </c>
      <c r="BE2" t="s">
        <v>74</v>
      </c>
      <c r="BF2" t="s">
        <v>74</v>
      </c>
      <c r="BG2" t="s">
        <v>74</v>
      </c>
      <c r="BH2" t="s">
        <v>74</v>
      </c>
      <c r="BI2">
        <v>29</v>
      </c>
      <c r="BJ2" t="s">
        <v>1488</v>
      </c>
      <c r="BK2" t="s">
        <v>187</v>
      </c>
      <c r="BL2" t="s">
        <v>1488</v>
      </c>
      <c r="BM2" t="s">
        <v>1489</v>
      </c>
      <c r="BN2" t="s">
        <v>74</v>
      </c>
      <c r="BO2" t="s">
        <v>74</v>
      </c>
      <c r="BP2" t="s">
        <v>74</v>
      </c>
      <c r="BQ2" t="s">
        <v>74</v>
      </c>
      <c r="BR2" t="s">
        <v>105</v>
      </c>
      <c r="BS2" t="s">
        <v>1490</v>
      </c>
      <c r="BT2" t="str">
        <f>HYPERLINK("https%3A%2F%2Fwww.webofscience.com%2Fwos%2Fwoscc%2Ffull-record%2FWOS:000936927400002","View Full Record in Web of Science")</f>
        <v>View Full Record in Web of Science</v>
      </c>
    </row>
    <row r="3" spans="1:72" x14ac:dyDescent="0.2">
      <c r="A3" t="s">
        <v>72</v>
      </c>
      <c r="B3" t="s">
        <v>2996</v>
      </c>
      <c r="C3" t="s">
        <v>74</v>
      </c>
      <c r="D3" t="s">
        <v>74</v>
      </c>
      <c r="E3" t="s">
        <v>74</v>
      </c>
      <c r="F3" t="s">
        <v>2997</v>
      </c>
      <c r="G3" t="s">
        <v>74</v>
      </c>
      <c r="H3" t="s">
        <v>74</v>
      </c>
      <c r="I3" t="s">
        <v>2998</v>
      </c>
      <c r="J3" t="s">
        <v>2999</v>
      </c>
      <c r="K3" t="s">
        <v>74</v>
      </c>
      <c r="L3" t="s">
        <v>74</v>
      </c>
      <c r="M3" t="s">
        <v>78</v>
      </c>
      <c r="N3" t="s">
        <v>79</v>
      </c>
      <c r="O3" t="s">
        <v>74</v>
      </c>
      <c r="P3" t="s">
        <v>74</v>
      </c>
      <c r="Q3" t="s">
        <v>74</v>
      </c>
      <c r="R3" t="s">
        <v>74</v>
      </c>
      <c r="S3" t="s">
        <v>74</v>
      </c>
      <c r="T3" t="s">
        <v>3000</v>
      </c>
      <c r="U3" t="s">
        <v>3001</v>
      </c>
      <c r="V3" t="s">
        <v>3002</v>
      </c>
      <c r="W3" s="1" t="s">
        <v>3003</v>
      </c>
      <c r="X3" t="s">
        <v>3004</v>
      </c>
      <c r="Y3" t="s">
        <v>3005</v>
      </c>
      <c r="Z3" t="s">
        <v>3006</v>
      </c>
      <c r="AA3" t="s">
        <v>919</v>
      </c>
      <c r="AB3" t="s">
        <v>920</v>
      </c>
      <c r="AC3" t="s">
        <v>74</v>
      </c>
      <c r="AD3" t="s">
        <v>74</v>
      </c>
      <c r="AE3" t="s">
        <v>74</v>
      </c>
      <c r="AF3" t="s">
        <v>3007</v>
      </c>
      <c r="AG3">
        <v>56</v>
      </c>
      <c r="AH3">
        <v>5</v>
      </c>
      <c r="AI3">
        <v>5</v>
      </c>
      <c r="AJ3">
        <v>1</v>
      </c>
      <c r="AK3">
        <v>60</v>
      </c>
      <c r="AL3" t="s">
        <v>3008</v>
      </c>
      <c r="AM3" t="s">
        <v>3009</v>
      </c>
      <c r="AN3" t="s">
        <v>3010</v>
      </c>
      <c r="AO3" t="s">
        <v>3011</v>
      </c>
      <c r="AP3" t="s">
        <v>3012</v>
      </c>
      <c r="AQ3" t="s">
        <v>74</v>
      </c>
      <c r="AR3" t="s">
        <v>3013</v>
      </c>
      <c r="AS3" t="s">
        <v>3014</v>
      </c>
      <c r="AT3" t="s">
        <v>3015</v>
      </c>
      <c r="AU3">
        <v>2022</v>
      </c>
      <c r="AV3">
        <v>13</v>
      </c>
      <c r="AW3">
        <v>1</v>
      </c>
      <c r="AX3" t="s">
        <v>74</v>
      </c>
      <c r="AY3" t="s">
        <v>74</v>
      </c>
      <c r="AZ3" t="s">
        <v>74</v>
      </c>
      <c r="BA3" t="s">
        <v>74</v>
      </c>
      <c r="BB3">
        <v>135</v>
      </c>
      <c r="BC3">
        <v>150</v>
      </c>
      <c r="BD3" t="s">
        <v>74</v>
      </c>
      <c r="BE3" t="s">
        <v>3016</v>
      </c>
      <c r="BF3" t="str">
        <f>HYPERLINK("http://dx.doi.org/10.5267/j.ijiec.2021.6.001","http://dx.doi.org/10.5267/j.ijiec.2021.6.001")</f>
        <v>http://dx.doi.org/10.5267/j.ijiec.2021.6.001</v>
      </c>
      <c r="BG3" t="s">
        <v>74</v>
      </c>
      <c r="BH3" t="s">
        <v>74</v>
      </c>
      <c r="BI3">
        <v>16</v>
      </c>
      <c r="BJ3" t="s">
        <v>3017</v>
      </c>
      <c r="BK3" t="s">
        <v>102</v>
      </c>
      <c r="BL3" t="s">
        <v>3018</v>
      </c>
      <c r="BM3" t="s">
        <v>3019</v>
      </c>
      <c r="BN3" t="s">
        <v>74</v>
      </c>
      <c r="BO3" t="s">
        <v>74</v>
      </c>
      <c r="BP3" t="s">
        <v>74</v>
      </c>
      <c r="BQ3" t="s">
        <v>74</v>
      </c>
      <c r="BR3" t="s">
        <v>105</v>
      </c>
      <c r="BS3" t="s">
        <v>3020</v>
      </c>
      <c r="BT3" t="str">
        <f>HYPERLINK("https%3A%2F%2Fwww.webofscience.com%2Fwos%2Fwoscc%2Ffull-record%2FWOS:000719401500010","View Full Record in Web of Science")</f>
        <v>View Full Record in Web of Science</v>
      </c>
    </row>
    <row r="4" spans="1:72" x14ac:dyDescent="0.2">
      <c r="A4" t="s">
        <v>72</v>
      </c>
      <c r="B4" t="s">
        <v>5998</v>
      </c>
      <c r="C4" t="s">
        <v>74</v>
      </c>
      <c r="D4" t="s">
        <v>74</v>
      </c>
      <c r="E4" t="s">
        <v>74</v>
      </c>
      <c r="F4" t="s">
        <v>5999</v>
      </c>
      <c r="G4" t="s">
        <v>74</v>
      </c>
      <c r="H4" t="s">
        <v>74</v>
      </c>
      <c r="I4" t="s">
        <v>6000</v>
      </c>
      <c r="J4" t="s">
        <v>2999</v>
      </c>
      <c r="K4" t="s">
        <v>74</v>
      </c>
      <c r="L4" t="s">
        <v>74</v>
      </c>
      <c r="M4" t="s">
        <v>78</v>
      </c>
      <c r="N4" t="s">
        <v>137</v>
      </c>
      <c r="O4" t="s">
        <v>74</v>
      </c>
      <c r="P4" t="s">
        <v>74</v>
      </c>
      <c r="Q4" t="s">
        <v>74</v>
      </c>
      <c r="R4" t="s">
        <v>74</v>
      </c>
      <c r="S4" t="s">
        <v>74</v>
      </c>
      <c r="T4" t="s">
        <v>6001</v>
      </c>
      <c r="U4" t="s">
        <v>6002</v>
      </c>
      <c r="V4" t="s">
        <v>6003</v>
      </c>
      <c r="W4" s="1" t="s">
        <v>6004</v>
      </c>
      <c r="X4" t="s">
        <v>6005</v>
      </c>
      <c r="Y4" t="s">
        <v>6006</v>
      </c>
      <c r="Z4" t="s">
        <v>6007</v>
      </c>
      <c r="AA4" t="s">
        <v>919</v>
      </c>
      <c r="AB4" t="s">
        <v>920</v>
      </c>
      <c r="AC4" t="s">
        <v>74</v>
      </c>
      <c r="AD4" t="s">
        <v>74</v>
      </c>
      <c r="AE4" t="s">
        <v>74</v>
      </c>
      <c r="AF4" t="s">
        <v>6008</v>
      </c>
      <c r="AG4">
        <v>43</v>
      </c>
      <c r="AH4">
        <v>0</v>
      </c>
      <c r="AI4">
        <v>0</v>
      </c>
      <c r="AJ4">
        <v>0</v>
      </c>
      <c r="AK4">
        <v>0</v>
      </c>
      <c r="AL4" t="s">
        <v>3008</v>
      </c>
      <c r="AM4" t="s">
        <v>3009</v>
      </c>
      <c r="AN4" t="s">
        <v>3010</v>
      </c>
      <c r="AO4" t="s">
        <v>3011</v>
      </c>
      <c r="AP4" t="s">
        <v>3012</v>
      </c>
      <c r="AQ4" t="s">
        <v>74</v>
      </c>
      <c r="AR4" t="s">
        <v>3013</v>
      </c>
      <c r="AS4" t="s">
        <v>3014</v>
      </c>
      <c r="AT4" t="s">
        <v>6009</v>
      </c>
      <c r="AU4">
        <v>2022</v>
      </c>
      <c r="AV4" t="s">
        <v>74</v>
      </c>
      <c r="AW4" t="s">
        <v>74</v>
      </c>
      <c r="AX4" t="s">
        <v>74</v>
      </c>
      <c r="AY4" t="s">
        <v>74</v>
      </c>
      <c r="AZ4" t="s">
        <v>74</v>
      </c>
      <c r="BA4" t="s">
        <v>74</v>
      </c>
      <c r="BB4" t="s">
        <v>74</v>
      </c>
      <c r="BC4" t="s">
        <v>74</v>
      </c>
      <c r="BD4" t="s">
        <v>74</v>
      </c>
      <c r="BE4" t="s">
        <v>6010</v>
      </c>
      <c r="BF4" t="str">
        <f>HYPERLINK("http://dx.doi.org/10.5267/j.ijiec.2022.12.004","http://dx.doi.org/10.5267/j.ijiec.2022.12.004")</f>
        <v>http://dx.doi.org/10.5267/j.ijiec.2022.12.004</v>
      </c>
      <c r="BG4" t="s">
        <v>74</v>
      </c>
      <c r="BH4" t="s">
        <v>158</v>
      </c>
      <c r="BI4">
        <v>20</v>
      </c>
      <c r="BJ4" t="s">
        <v>3017</v>
      </c>
      <c r="BK4" t="s">
        <v>102</v>
      </c>
      <c r="BL4" t="s">
        <v>3018</v>
      </c>
      <c r="BM4" t="s">
        <v>6011</v>
      </c>
      <c r="BN4" t="s">
        <v>74</v>
      </c>
      <c r="BO4" t="s">
        <v>190</v>
      </c>
      <c r="BP4" t="s">
        <v>74</v>
      </c>
      <c r="BQ4" t="s">
        <v>74</v>
      </c>
      <c r="BR4" t="s">
        <v>105</v>
      </c>
      <c r="BS4" t="s">
        <v>6012</v>
      </c>
      <c r="BT4" t="str">
        <f>HYPERLINK("https%3A%2F%2Fwww.webofscience.com%2Fwos%2Fwoscc%2Ffull-record%2FWOS:000905369000001","View Full Record in Web of Science")</f>
        <v>View Full Record in Web of Science</v>
      </c>
    </row>
    <row r="5" spans="1:72" x14ac:dyDescent="0.2">
      <c r="A5" t="s">
        <v>72</v>
      </c>
      <c r="B5" t="s">
        <v>1758</v>
      </c>
      <c r="C5" t="s">
        <v>74</v>
      </c>
      <c r="D5" t="s">
        <v>74</v>
      </c>
      <c r="E5" t="s">
        <v>74</v>
      </c>
      <c r="F5" t="s">
        <v>1759</v>
      </c>
      <c r="G5" t="s">
        <v>74</v>
      </c>
      <c r="H5" t="s">
        <v>74</v>
      </c>
      <c r="I5" t="s">
        <v>1760</v>
      </c>
      <c r="J5" t="s">
        <v>1761</v>
      </c>
      <c r="K5" t="s">
        <v>74</v>
      </c>
      <c r="L5" t="s">
        <v>74</v>
      </c>
      <c r="M5" t="s">
        <v>1517</v>
      </c>
      <c r="N5" t="s">
        <v>79</v>
      </c>
      <c r="O5" t="s">
        <v>74</v>
      </c>
      <c r="P5" t="s">
        <v>74</v>
      </c>
      <c r="Q5" t="s">
        <v>74</v>
      </c>
      <c r="R5" t="s">
        <v>74</v>
      </c>
      <c r="S5" t="s">
        <v>74</v>
      </c>
      <c r="T5" t="s">
        <v>1762</v>
      </c>
      <c r="U5" t="s">
        <v>74</v>
      </c>
      <c r="V5" t="s">
        <v>1763</v>
      </c>
      <c r="W5" s="1" t="s">
        <v>1764</v>
      </c>
      <c r="X5" t="s">
        <v>84</v>
      </c>
      <c r="Y5" t="s">
        <v>1765</v>
      </c>
      <c r="Z5" t="s">
        <v>1766</v>
      </c>
      <c r="AA5" t="s">
        <v>74</v>
      </c>
      <c r="AB5" t="s">
        <v>74</v>
      </c>
      <c r="AC5" t="s">
        <v>74</v>
      </c>
      <c r="AD5" t="s">
        <v>74</v>
      </c>
      <c r="AE5" t="s">
        <v>74</v>
      </c>
      <c r="AF5" t="s">
        <v>1767</v>
      </c>
      <c r="AG5">
        <v>44</v>
      </c>
      <c r="AH5">
        <v>0</v>
      </c>
      <c r="AI5">
        <v>0</v>
      </c>
      <c r="AJ5">
        <v>0</v>
      </c>
      <c r="AK5">
        <v>1</v>
      </c>
      <c r="AL5" t="s">
        <v>1768</v>
      </c>
      <c r="AM5" t="s">
        <v>1769</v>
      </c>
      <c r="AN5" t="s">
        <v>1770</v>
      </c>
      <c r="AO5" t="s">
        <v>1771</v>
      </c>
      <c r="AP5" t="s">
        <v>74</v>
      </c>
      <c r="AQ5" t="s">
        <v>74</v>
      </c>
      <c r="AR5" t="s">
        <v>1772</v>
      </c>
      <c r="AS5" t="s">
        <v>1773</v>
      </c>
      <c r="AT5" t="s">
        <v>1774</v>
      </c>
      <c r="AU5">
        <v>2022</v>
      </c>
      <c r="AV5">
        <v>22</v>
      </c>
      <c r="AW5">
        <v>51</v>
      </c>
      <c r="AX5" t="s">
        <v>74</v>
      </c>
      <c r="AY5" t="s">
        <v>74</v>
      </c>
      <c r="AZ5" t="s">
        <v>74</v>
      </c>
      <c r="BA5" t="s">
        <v>74</v>
      </c>
      <c r="BB5" t="s">
        <v>74</v>
      </c>
      <c r="BC5" t="s">
        <v>74</v>
      </c>
      <c r="BD5" t="s">
        <v>1775</v>
      </c>
      <c r="BE5" t="s">
        <v>1776</v>
      </c>
      <c r="BF5" t="str">
        <f>HYPERLINK("http://dx.doi.org/10.24215/15155994e177","http://dx.doi.org/10.24215/15155994e177")</f>
        <v>http://dx.doi.org/10.24215/15155994e177</v>
      </c>
      <c r="BG5" t="s">
        <v>74</v>
      </c>
      <c r="BH5" t="s">
        <v>74</v>
      </c>
      <c r="BI5">
        <v>13</v>
      </c>
      <c r="BJ5" t="s">
        <v>1777</v>
      </c>
      <c r="BK5" t="s">
        <v>187</v>
      </c>
      <c r="BL5" t="s">
        <v>1777</v>
      </c>
      <c r="BM5" t="s">
        <v>1778</v>
      </c>
      <c r="BN5" t="s">
        <v>74</v>
      </c>
      <c r="BO5" t="s">
        <v>131</v>
      </c>
      <c r="BP5" t="s">
        <v>74</v>
      </c>
      <c r="BQ5" t="s">
        <v>74</v>
      </c>
      <c r="BR5" t="s">
        <v>105</v>
      </c>
      <c r="BS5" t="s">
        <v>1779</v>
      </c>
      <c r="BT5" t="str">
        <f>HYPERLINK("https%3A%2F%2Fwww.webofscience.com%2Fwos%2Fwoscc%2Ffull-record%2FWOS:000798750000005","View Full Record in Web of Science")</f>
        <v>View Full Record in Web of Science</v>
      </c>
    </row>
    <row r="6" spans="1:72" x14ac:dyDescent="0.2">
      <c r="A6" t="s">
        <v>72</v>
      </c>
      <c r="B6" t="s">
        <v>531</v>
      </c>
      <c r="C6" t="s">
        <v>74</v>
      </c>
      <c r="D6" t="s">
        <v>74</v>
      </c>
      <c r="E6" t="s">
        <v>74</v>
      </c>
      <c r="F6" t="s">
        <v>532</v>
      </c>
      <c r="G6" t="s">
        <v>74</v>
      </c>
      <c r="H6" t="s">
        <v>74</v>
      </c>
      <c r="I6" t="s">
        <v>533</v>
      </c>
      <c r="J6" t="s">
        <v>534</v>
      </c>
      <c r="K6" t="s">
        <v>74</v>
      </c>
      <c r="L6" t="s">
        <v>74</v>
      </c>
      <c r="M6" t="s">
        <v>78</v>
      </c>
      <c r="N6" t="s">
        <v>79</v>
      </c>
      <c r="O6" t="s">
        <v>74</v>
      </c>
      <c r="P6" t="s">
        <v>74</v>
      </c>
      <c r="Q6" t="s">
        <v>74</v>
      </c>
      <c r="R6" t="s">
        <v>74</v>
      </c>
      <c r="S6" t="s">
        <v>74</v>
      </c>
      <c r="T6" t="s">
        <v>535</v>
      </c>
      <c r="U6" t="s">
        <v>536</v>
      </c>
      <c r="V6" t="s">
        <v>537</v>
      </c>
      <c r="W6" s="1" t="s">
        <v>538</v>
      </c>
      <c r="X6" t="s">
        <v>84</v>
      </c>
      <c r="Y6" t="s">
        <v>539</v>
      </c>
      <c r="Z6" t="s">
        <v>540</v>
      </c>
      <c r="AA6" t="s">
        <v>541</v>
      </c>
      <c r="AB6" t="s">
        <v>542</v>
      </c>
      <c r="AC6" t="s">
        <v>543</v>
      </c>
      <c r="AD6" t="s">
        <v>543</v>
      </c>
      <c r="AE6" t="s">
        <v>544</v>
      </c>
      <c r="AF6" t="s">
        <v>545</v>
      </c>
      <c r="AG6">
        <v>54</v>
      </c>
      <c r="AH6">
        <v>0</v>
      </c>
      <c r="AI6">
        <v>0</v>
      </c>
      <c r="AJ6">
        <v>3</v>
      </c>
      <c r="AK6">
        <v>5</v>
      </c>
      <c r="AL6" t="s">
        <v>546</v>
      </c>
      <c r="AM6" t="s">
        <v>547</v>
      </c>
      <c r="AN6" t="s">
        <v>548</v>
      </c>
      <c r="AO6" t="s">
        <v>74</v>
      </c>
      <c r="AP6" t="s">
        <v>549</v>
      </c>
      <c r="AQ6" t="s">
        <v>74</v>
      </c>
      <c r="AR6" t="s">
        <v>550</v>
      </c>
      <c r="AS6" t="s">
        <v>551</v>
      </c>
      <c r="AT6" t="s">
        <v>552</v>
      </c>
      <c r="AU6">
        <v>2022</v>
      </c>
      <c r="AV6">
        <v>18</v>
      </c>
      <c r="AW6">
        <v>1</v>
      </c>
      <c r="AX6" t="s">
        <v>74</v>
      </c>
      <c r="AY6" t="s">
        <v>74</v>
      </c>
      <c r="AZ6" t="s">
        <v>74</v>
      </c>
      <c r="BA6" t="s">
        <v>74</v>
      </c>
      <c r="BB6" t="s">
        <v>74</v>
      </c>
      <c r="BC6" t="s">
        <v>74</v>
      </c>
      <c r="BD6">
        <v>59</v>
      </c>
      <c r="BE6" t="s">
        <v>553</v>
      </c>
      <c r="BF6" t="str">
        <f>HYPERLINK("http://dx.doi.org/10.1186/s13002-022-00557-1","http://dx.doi.org/10.1186/s13002-022-00557-1")</f>
        <v>http://dx.doi.org/10.1186/s13002-022-00557-1</v>
      </c>
      <c r="BG6" t="s">
        <v>74</v>
      </c>
      <c r="BH6" t="s">
        <v>74</v>
      </c>
      <c r="BI6">
        <v>12</v>
      </c>
      <c r="BJ6" t="s">
        <v>554</v>
      </c>
      <c r="BK6" t="s">
        <v>102</v>
      </c>
      <c r="BL6" t="s">
        <v>555</v>
      </c>
      <c r="BM6" t="s">
        <v>556</v>
      </c>
      <c r="BN6">
        <v>36117158</v>
      </c>
      <c r="BO6" t="s">
        <v>131</v>
      </c>
      <c r="BP6" t="s">
        <v>74</v>
      </c>
      <c r="BQ6" t="s">
        <v>74</v>
      </c>
      <c r="BR6" t="s">
        <v>105</v>
      </c>
      <c r="BS6" t="s">
        <v>557</v>
      </c>
      <c r="BT6" t="str">
        <f>HYPERLINK("https%3A%2F%2Fwww.webofscience.com%2Fwos%2Fwoscc%2Ffull-record%2FWOS:000855526900001","View Full Record in Web of Science")</f>
        <v>View Full Record in Web of Science</v>
      </c>
    </row>
    <row r="7" spans="1:72" x14ac:dyDescent="0.2">
      <c r="A7" t="s">
        <v>72</v>
      </c>
      <c r="B7" t="s">
        <v>6450</v>
      </c>
      <c r="C7" t="s">
        <v>74</v>
      </c>
      <c r="D7" t="s">
        <v>74</v>
      </c>
      <c r="E7" t="s">
        <v>74</v>
      </c>
      <c r="F7" t="s">
        <v>6451</v>
      </c>
      <c r="G7" t="s">
        <v>74</v>
      </c>
      <c r="H7" t="s">
        <v>74</v>
      </c>
      <c r="I7" t="s">
        <v>6452</v>
      </c>
      <c r="J7" t="s">
        <v>6453</v>
      </c>
      <c r="K7" t="s">
        <v>74</v>
      </c>
      <c r="L7" t="s">
        <v>74</v>
      </c>
      <c r="M7" t="s">
        <v>78</v>
      </c>
      <c r="N7" t="s">
        <v>79</v>
      </c>
      <c r="O7" t="s">
        <v>74</v>
      </c>
      <c r="P7" t="s">
        <v>74</v>
      </c>
      <c r="Q7" t="s">
        <v>74</v>
      </c>
      <c r="R7" t="s">
        <v>74</v>
      </c>
      <c r="S7" t="s">
        <v>74</v>
      </c>
      <c r="T7" t="s">
        <v>74</v>
      </c>
      <c r="U7" t="s">
        <v>6454</v>
      </c>
      <c r="V7" t="s">
        <v>6455</v>
      </c>
      <c r="W7" s="1" t="s">
        <v>6456</v>
      </c>
      <c r="X7" t="s">
        <v>6457</v>
      </c>
      <c r="Y7" t="s">
        <v>6458</v>
      </c>
      <c r="Z7" t="s">
        <v>6459</v>
      </c>
      <c r="AA7" t="s">
        <v>6460</v>
      </c>
      <c r="AB7" t="s">
        <v>6461</v>
      </c>
      <c r="AC7" t="s">
        <v>6462</v>
      </c>
      <c r="AD7" t="s">
        <v>6463</v>
      </c>
      <c r="AE7" t="s">
        <v>6464</v>
      </c>
      <c r="AF7" t="s">
        <v>6465</v>
      </c>
      <c r="AG7">
        <v>71</v>
      </c>
      <c r="AH7">
        <v>17</v>
      </c>
      <c r="AI7">
        <v>17</v>
      </c>
      <c r="AJ7">
        <v>42</v>
      </c>
      <c r="AK7">
        <v>101</v>
      </c>
      <c r="AL7" t="s">
        <v>1233</v>
      </c>
      <c r="AM7" t="s">
        <v>1234</v>
      </c>
      <c r="AN7" t="s">
        <v>1235</v>
      </c>
      <c r="AO7" t="s">
        <v>6466</v>
      </c>
      <c r="AP7" t="s">
        <v>6467</v>
      </c>
      <c r="AQ7" t="s">
        <v>74</v>
      </c>
      <c r="AR7" t="s">
        <v>6468</v>
      </c>
      <c r="AS7" t="s">
        <v>6469</v>
      </c>
      <c r="AT7" t="s">
        <v>268</v>
      </c>
      <c r="AU7">
        <v>2022</v>
      </c>
      <c r="AV7">
        <v>15</v>
      </c>
      <c r="AW7">
        <v>4</v>
      </c>
      <c r="AX7" t="s">
        <v>74</v>
      </c>
      <c r="AY7" t="s">
        <v>74</v>
      </c>
      <c r="AZ7" t="s">
        <v>74</v>
      </c>
      <c r="BA7" t="s">
        <v>74</v>
      </c>
      <c r="BB7">
        <v>269</v>
      </c>
      <c r="BC7" t="s">
        <v>4652</v>
      </c>
      <c r="BD7" t="s">
        <v>74</v>
      </c>
      <c r="BE7" t="s">
        <v>6470</v>
      </c>
      <c r="BF7" t="str">
        <f>HYPERLINK("http://dx.doi.org/10.1038/s41561-022-00911-8","http://dx.doi.org/10.1038/s41561-022-00911-8")</f>
        <v>http://dx.doi.org/10.1038/s41561-022-00911-8</v>
      </c>
      <c r="BG7" t="s">
        <v>74</v>
      </c>
      <c r="BH7" t="s">
        <v>244</v>
      </c>
      <c r="BI7">
        <v>21</v>
      </c>
      <c r="BJ7" t="s">
        <v>5048</v>
      </c>
      <c r="BK7" t="s">
        <v>102</v>
      </c>
      <c r="BL7" t="s">
        <v>2301</v>
      </c>
      <c r="BM7" t="s">
        <v>6471</v>
      </c>
      <c r="BN7" t="s">
        <v>74</v>
      </c>
      <c r="BO7" t="s">
        <v>6472</v>
      </c>
      <c r="BP7" t="s">
        <v>3071</v>
      </c>
      <c r="BQ7" t="s">
        <v>3072</v>
      </c>
      <c r="BR7" t="s">
        <v>105</v>
      </c>
      <c r="BS7" t="s">
        <v>6473</v>
      </c>
      <c r="BT7" t="str">
        <f>HYPERLINK("https%3A%2F%2Fwww.webofscience.com%2Fwos%2Fwoscc%2Ffull-record%2FWOS:000777374800001","View Full Record in Web of Science")</f>
        <v>View Full Record in Web of Science</v>
      </c>
    </row>
    <row r="8" spans="1:72" x14ac:dyDescent="0.2">
      <c r="A8" t="s">
        <v>72</v>
      </c>
      <c r="B8" t="s">
        <v>3435</v>
      </c>
      <c r="C8" t="s">
        <v>74</v>
      </c>
      <c r="D8" t="s">
        <v>74</v>
      </c>
      <c r="E8" t="s">
        <v>74</v>
      </c>
      <c r="F8" t="s">
        <v>3436</v>
      </c>
      <c r="G8" t="s">
        <v>74</v>
      </c>
      <c r="H8" t="s">
        <v>74</v>
      </c>
      <c r="I8" t="s">
        <v>3437</v>
      </c>
      <c r="J8" t="s">
        <v>3438</v>
      </c>
      <c r="K8" t="s">
        <v>74</v>
      </c>
      <c r="L8" t="s">
        <v>74</v>
      </c>
      <c r="M8" t="s">
        <v>1517</v>
      </c>
      <c r="N8" t="s">
        <v>79</v>
      </c>
      <c r="O8" t="s">
        <v>74</v>
      </c>
      <c r="P8" t="s">
        <v>74</v>
      </c>
      <c r="Q8" t="s">
        <v>74</v>
      </c>
      <c r="R8" t="s">
        <v>74</v>
      </c>
      <c r="S8" t="s">
        <v>74</v>
      </c>
      <c r="T8" t="s">
        <v>3439</v>
      </c>
      <c r="U8" t="s">
        <v>74</v>
      </c>
      <c r="V8" t="s">
        <v>3440</v>
      </c>
      <c r="W8" s="1" t="s">
        <v>3441</v>
      </c>
      <c r="X8" t="s">
        <v>3442</v>
      </c>
      <c r="Y8" t="s">
        <v>3443</v>
      </c>
      <c r="Z8" t="s">
        <v>3444</v>
      </c>
      <c r="AA8" t="s">
        <v>74</v>
      </c>
      <c r="AB8" t="s">
        <v>74</v>
      </c>
      <c r="AC8" t="s">
        <v>74</v>
      </c>
      <c r="AD8" t="s">
        <v>74</v>
      </c>
      <c r="AE8" t="s">
        <v>74</v>
      </c>
      <c r="AF8" t="s">
        <v>3445</v>
      </c>
      <c r="AG8">
        <v>41</v>
      </c>
      <c r="AH8">
        <v>0</v>
      </c>
      <c r="AI8">
        <v>0</v>
      </c>
      <c r="AJ8">
        <v>0</v>
      </c>
      <c r="AK8">
        <v>0</v>
      </c>
      <c r="AL8" t="s">
        <v>3446</v>
      </c>
      <c r="AM8" t="s">
        <v>316</v>
      </c>
      <c r="AN8" t="s">
        <v>3447</v>
      </c>
      <c r="AO8" t="s">
        <v>3448</v>
      </c>
      <c r="AP8" t="s">
        <v>3449</v>
      </c>
      <c r="AQ8" t="s">
        <v>74</v>
      </c>
      <c r="AR8" t="s">
        <v>3450</v>
      </c>
      <c r="AS8" t="s">
        <v>3451</v>
      </c>
      <c r="AT8" t="s">
        <v>1527</v>
      </c>
      <c r="AU8">
        <v>2023</v>
      </c>
      <c r="AV8">
        <v>20</v>
      </c>
      <c r="AW8">
        <v>39</v>
      </c>
      <c r="AX8" t="s">
        <v>74</v>
      </c>
      <c r="AY8" t="s">
        <v>74</v>
      </c>
      <c r="AZ8" t="s">
        <v>74</v>
      </c>
      <c r="BA8" t="s">
        <v>74</v>
      </c>
      <c r="BB8" t="s">
        <v>74</v>
      </c>
      <c r="BC8" t="s">
        <v>74</v>
      </c>
      <c r="BD8" t="s">
        <v>74</v>
      </c>
      <c r="BE8" t="s">
        <v>74</v>
      </c>
      <c r="BF8" t="s">
        <v>74</v>
      </c>
      <c r="BG8" t="s">
        <v>74</v>
      </c>
      <c r="BH8" t="s">
        <v>74</v>
      </c>
      <c r="BI8">
        <v>23</v>
      </c>
      <c r="BJ8" t="s">
        <v>3452</v>
      </c>
      <c r="BK8" t="s">
        <v>187</v>
      </c>
      <c r="BL8" t="s">
        <v>3452</v>
      </c>
      <c r="BM8" t="s">
        <v>3453</v>
      </c>
      <c r="BN8" t="s">
        <v>74</v>
      </c>
      <c r="BO8" t="s">
        <v>74</v>
      </c>
      <c r="BP8" t="s">
        <v>74</v>
      </c>
      <c r="BQ8" t="s">
        <v>74</v>
      </c>
      <c r="BR8" t="s">
        <v>105</v>
      </c>
      <c r="BS8" t="s">
        <v>3454</v>
      </c>
      <c r="BT8" t="str">
        <f>HYPERLINK("https%3A%2F%2Fwww.webofscience.com%2Fwos%2Fwoscc%2Ffull-record%2FWOS:000893117600002","View Full Record in Web of Science")</f>
        <v>View Full Record in Web of Science</v>
      </c>
    </row>
    <row r="9" spans="1:72" x14ac:dyDescent="0.2">
      <c r="A9" t="s">
        <v>72</v>
      </c>
      <c r="B9" t="s">
        <v>1274</v>
      </c>
      <c r="C9" t="s">
        <v>74</v>
      </c>
      <c r="D9" t="s">
        <v>74</v>
      </c>
      <c r="E9" t="s">
        <v>74</v>
      </c>
      <c r="F9" t="s">
        <v>1275</v>
      </c>
      <c r="G9" t="s">
        <v>74</v>
      </c>
      <c r="H9" t="s">
        <v>74</v>
      </c>
      <c r="I9" t="s">
        <v>1276</v>
      </c>
      <c r="J9" t="s">
        <v>1277</v>
      </c>
      <c r="K9" t="s">
        <v>74</v>
      </c>
      <c r="L9" t="s">
        <v>74</v>
      </c>
      <c r="M9" t="s">
        <v>78</v>
      </c>
      <c r="N9" t="s">
        <v>79</v>
      </c>
      <c r="O9" t="s">
        <v>74</v>
      </c>
      <c r="P9" t="s">
        <v>74</v>
      </c>
      <c r="Q9" t="s">
        <v>74</v>
      </c>
      <c r="R9" t="s">
        <v>74</v>
      </c>
      <c r="S9" t="s">
        <v>74</v>
      </c>
      <c r="T9" t="s">
        <v>1278</v>
      </c>
      <c r="U9" t="s">
        <v>1279</v>
      </c>
      <c r="V9" t="s">
        <v>1280</v>
      </c>
      <c r="W9" s="1" t="s">
        <v>1281</v>
      </c>
      <c r="X9" t="s">
        <v>142</v>
      </c>
      <c r="Y9" t="s">
        <v>1282</v>
      </c>
      <c r="Z9" t="s">
        <v>1283</v>
      </c>
      <c r="AA9" t="s">
        <v>74</v>
      </c>
      <c r="AB9" t="s">
        <v>1284</v>
      </c>
      <c r="AC9" t="s">
        <v>1285</v>
      </c>
      <c r="AD9" t="s">
        <v>1286</v>
      </c>
      <c r="AE9" t="s">
        <v>1287</v>
      </c>
      <c r="AF9" t="s">
        <v>1288</v>
      </c>
      <c r="AG9">
        <v>38</v>
      </c>
      <c r="AH9">
        <v>1</v>
      </c>
      <c r="AI9">
        <v>1</v>
      </c>
      <c r="AJ9">
        <v>0</v>
      </c>
      <c r="AK9">
        <v>0</v>
      </c>
      <c r="AL9" t="s">
        <v>263</v>
      </c>
      <c r="AM9" t="s">
        <v>264</v>
      </c>
      <c r="AN9" t="s">
        <v>265</v>
      </c>
      <c r="AO9" t="s">
        <v>1289</v>
      </c>
      <c r="AP9" t="s">
        <v>1290</v>
      </c>
      <c r="AQ9" t="s">
        <v>74</v>
      </c>
      <c r="AR9" t="s">
        <v>1291</v>
      </c>
      <c r="AS9" t="s">
        <v>1292</v>
      </c>
      <c r="AT9" t="s">
        <v>460</v>
      </c>
      <c r="AU9">
        <v>2022</v>
      </c>
      <c r="AV9">
        <v>34</v>
      </c>
      <c r="AW9">
        <v>6</v>
      </c>
      <c r="AX9" t="s">
        <v>74</v>
      </c>
      <c r="AY9" t="s">
        <v>74</v>
      </c>
      <c r="AZ9" t="s">
        <v>74</v>
      </c>
      <c r="BA9" t="s">
        <v>74</v>
      </c>
      <c r="BB9" t="s">
        <v>74</v>
      </c>
      <c r="BC9" t="s">
        <v>74</v>
      </c>
      <c r="BD9">
        <v>102202</v>
      </c>
      <c r="BE9" t="s">
        <v>1293</v>
      </c>
      <c r="BF9" t="str">
        <f>HYPERLINK("http://dx.doi.org/10.1016/j.jksus.2022.102202","http://dx.doi.org/10.1016/j.jksus.2022.102202")</f>
        <v>http://dx.doi.org/10.1016/j.jksus.2022.102202</v>
      </c>
      <c r="BG9" t="s">
        <v>74</v>
      </c>
      <c r="BH9" t="s">
        <v>501</v>
      </c>
      <c r="BI9">
        <v>10</v>
      </c>
      <c r="BJ9" t="s">
        <v>627</v>
      </c>
      <c r="BK9" t="s">
        <v>102</v>
      </c>
      <c r="BL9" t="s">
        <v>628</v>
      </c>
      <c r="BM9" t="s">
        <v>1294</v>
      </c>
      <c r="BN9" t="s">
        <v>74</v>
      </c>
      <c r="BO9" t="s">
        <v>190</v>
      </c>
      <c r="BP9" t="s">
        <v>74</v>
      </c>
      <c r="BQ9" t="s">
        <v>74</v>
      </c>
      <c r="BR9" t="s">
        <v>105</v>
      </c>
      <c r="BS9" t="s">
        <v>1295</v>
      </c>
      <c r="BT9" t="str">
        <f>HYPERLINK("https%3A%2F%2Fwww.webofscience.com%2Fwos%2Fwoscc%2Ffull-record%2FWOS:000828153000011","View Full Record in Web of Science")</f>
        <v>View Full Record in Web of Science</v>
      </c>
    </row>
    <row r="10" spans="1:72" x14ac:dyDescent="0.2">
      <c r="A10" t="s">
        <v>72</v>
      </c>
      <c r="B10" t="s">
        <v>3391</v>
      </c>
      <c r="C10" t="s">
        <v>74</v>
      </c>
      <c r="D10" t="s">
        <v>74</v>
      </c>
      <c r="E10" t="s">
        <v>74</v>
      </c>
      <c r="F10" t="s">
        <v>3392</v>
      </c>
      <c r="G10" t="s">
        <v>74</v>
      </c>
      <c r="H10" t="s">
        <v>74</v>
      </c>
      <c r="I10" t="s">
        <v>3393</v>
      </c>
      <c r="J10" t="s">
        <v>3394</v>
      </c>
      <c r="K10" t="s">
        <v>74</v>
      </c>
      <c r="L10" t="s">
        <v>74</v>
      </c>
      <c r="M10" t="s">
        <v>78</v>
      </c>
      <c r="N10" t="s">
        <v>3324</v>
      </c>
      <c r="O10" t="s">
        <v>74</v>
      </c>
      <c r="P10" t="s">
        <v>74</v>
      </c>
      <c r="Q10" t="s">
        <v>74</v>
      </c>
      <c r="R10" t="s">
        <v>74</v>
      </c>
      <c r="S10" t="s">
        <v>74</v>
      </c>
      <c r="T10" t="s">
        <v>3395</v>
      </c>
      <c r="U10" t="s">
        <v>3396</v>
      </c>
      <c r="V10" t="s">
        <v>3397</v>
      </c>
      <c r="W10" s="1" t="s">
        <v>3398</v>
      </c>
      <c r="X10" t="s">
        <v>3399</v>
      </c>
      <c r="Y10" t="s">
        <v>3400</v>
      </c>
      <c r="Z10" t="s">
        <v>3401</v>
      </c>
      <c r="AA10" t="s">
        <v>3402</v>
      </c>
      <c r="AB10" t="s">
        <v>3403</v>
      </c>
      <c r="AC10" t="s">
        <v>3404</v>
      </c>
      <c r="AD10" t="s">
        <v>3404</v>
      </c>
      <c r="AE10" t="s">
        <v>3405</v>
      </c>
      <c r="AF10" t="s">
        <v>3406</v>
      </c>
      <c r="AG10">
        <v>139</v>
      </c>
      <c r="AH10">
        <v>2</v>
      </c>
      <c r="AI10">
        <v>2</v>
      </c>
      <c r="AJ10">
        <v>42</v>
      </c>
      <c r="AK10">
        <v>46</v>
      </c>
      <c r="AL10" t="s">
        <v>236</v>
      </c>
      <c r="AM10" t="s">
        <v>237</v>
      </c>
      <c r="AN10" t="s">
        <v>238</v>
      </c>
      <c r="AO10" t="s">
        <v>3407</v>
      </c>
      <c r="AP10" t="s">
        <v>3408</v>
      </c>
      <c r="AQ10" t="s">
        <v>74</v>
      </c>
      <c r="AR10" t="s">
        <v>3409</v>
      </c>
      <c r="AS10" t="s">
        <v>3410</v>
      </c>
      <c r="AT10" t="s">
        <v>3411</v>
      </c>
      <c r="AU10">
        <v>2022</v>
      </c>
      <c r="AV10" t="s">
        <v>74</v>
      </c>
      <c r="AW10" t="s">
        <v>74</v>
      </c>
      <c r="AX10" t="s">
        <v>74</v>
      </c>
      <c r="AY10" t="s">
        <v>74</v>
      </c>
      <c r="AZ10" t="s">
        <v>74</v>
      </c>
      <c r="BA10" t="s">
        <v>74</v>
      </c>
      <c r="BB10" t="s">
        <v>74</v>
      </c>
      <c r="BC10" t="s">
        <v>74</v>
      </c>
      <c r="BD10" t="s">
        <v>74</v>
      </c>
      <c r="BE10" t="s">
        <v>3412</v>
      </c>
      <c r="BF10" t="str">
        <f>HYPERLINK("http://dx.doi.org/10.1007/s13399-022-03535-5","http://dx.doi.org/10.1007/s13399-022-03535-5")</f>
        <v>http://dx.doi.org/10.1007/s13399-022-03535-5</v>
      </c>
      <c r="BG10" t="s">
        <v>74</v>
      </c>
      <c r="BH10" t="s">
        <v>1164</v>
      </c>
      <c r="BI10">
        <v>19</v>
      </c>
      <c r="BJ10" t="s">
        <v>3413</v>
      </c>
      <c r="BK10" t="s">
        <v>102</v>
      </c>
      <c r="BL10" t="s">
        <v>3414</v>
      </c>
      <c r="BM10" t="s">
        <v>3415</v>
      </c>
      <c r="BN10" t="s">
        <v>74</v>
      </c>
      <c r="BO10" t="s">
        <v>74</v>
      </c>
      <c r="BP10" t="s">
        <v>74</v>
      </c>
      <c r="BQ10" t="s">
        <v>74</v>
      </c>
      <c r="BR10" t="s">
        <v>105</v>
      </c>
      <c r="BS10" t="s">
        <v>3416</v>
      </c>
      <c r="BT10" t="str">
        <f>HYPERLINK("https%3A%2F%2Fwww.webofscience.com%2Fwos%2Fwoscc%2Ffull-record%2FWOS:000881906800001","View Full Record in Web of Science")</f>
        <v>View Full Record in Web of Science</v>
      </c>
    </row>
    <row r="11" spans="1:72" x14ac:dyDescent="0.2">
      <c r="A11" t="s">
        <v>72</v>
      </c>
      <c r="B11" t="s">
        <v>1437</v>
      </c>
      <c r="C11" t="s">
        <v>74</v>
      </c>
      <c r="D11" t="s">
        <v>74</v>
      </c>
      <c r="E11" t="s">
        <v>74</v>
      </c>
      <c r="F11" t="s">
        <v>1438</v>
      </c>
      <c r="G11" t="s">
        <v>74</v>
      </c>
      <c r="H11" t="s">
        <v>74</v>
      </c>
      <c r="I11" t="s">
        <v>1439</v>
      </c>
      <c r="J11" t="s">
        <v>1440</v>
      </c>
      <c r="K11" t="s">
        <v>74</v>
      </c>
      <c r="L11" t="s">
        <v>74</v>
      </c>
      <c r="M11" t="s">
        <v>78</v>
      </c>
      <c r="N11" t="s">
        <v>79</v>
      </c>
      <c r="O11" t="s">
        <v>74</v>
      </c>
      <c r="P11" t="s">
        <v>74</v>
      </c>
      <c r="Q11" t="s">
        <v>74</v>
      </c>
      <c r="R11" t="s">
        <v>74</v>
      </c>
      <c r="S11" t="s">
        <v>74</v>
      </c>
      <c r="T11" t="s">
        <v>1441</v>
      </c>
      <c r="U11" t="s">
        <v>1442</v>
      </c>
      <c r="V11" t="s">
        <v>1443</v>
      </c>
      <c r="W11" s="1" t="s">
        <v>1444</v>
      </c>
      <c r="X11" t="s">
        <v>1445</v>
      </c>
      <c r="Y11" t="s">
        <v>1446</v>
      </c>
      <c r="Z11" t="s">
        <v>1447</v>
      </c>
      <c r="AA11" t="s">
        <v>403</v>
      </c>
      <c r="AB11" t="s">
        <v>1448</v>
      </c>
      <c r="AC11" t="s">
        <v>74</v>
      </c>
      <c r="AD11" t="s">
        <v>74</v>
      </c>
      <c r="AE11" t="s">
        <v>74</v>
      </c>
      <c r="AF11" t="s">
        <v>1449</v>
      </c>
      <c r="AG11">
        <v>92</v>
      </c>
      <c r="AH11">
        <v>6</v>
      </c>
      <c r="AI11">
        <v>6</v>
      </c>
      <c r="AJ11">
        <v>4</v>
      </c>
      <c r="AK11">
        <v>7</v>
      </c>
      <c r="AL11" t="s">
        <v>263</v>
      </c>
      <c r="AM11" t="s">
        <v>264</v>
      </c>
      <c r="AN11" t="s">
        <v>265</v>
      </c>
      <c r="AO11" t="s">
        <v>74</v>
      </c>
      <c r="AP11" t="s">
        <v>1450</v>
      </c>
      <c r="AQ11" t="s">
        <v>74</v>
      </c>
      <c r="AR11" t="s">
        <v>1451</v>
      </c>
      <c r="AS11" t="s">
        <v>1452</v>
      </c>
      <c r="AT11" t="s">
        <v>99</v>
      </c>
      <c r="AU11">
        <v>2022</v>
      </c>
      <c r="AV11">
        <v>39</v>
      </c>
      <c r="AW11" t="s">
        <v>74</v>
      </c>
      <c r="AX11" t="s">
        <v>74</v>
      </c>
      <c r="AY11" t="s">
        <v>74</v>
      </c>
      <c r="AZ11" t="s">
        <v>74</v>
      </c>
      <c r="BA11" t="s">
        <v>74</v>
      </c>
      <c r="BB11" t="s">
        <v>74</v>
      </c>
      <c r="BC11" t="s">
        <v>74</v>
      </c>
      <c r="BD11">
        <v>102281</v>
      </c>
      <c r="BE11" t="s">
        <v>1453</v>
      </c>
      <c r="BF11" t="str">
        <f>HYPERLINK("http://dx.doi.org/10.1016/j.bcab.2022.102281","http://dx.doi.org/10.1016/j.bcab.2022.102281")</f>
        <v>http://dx.doi.org/10.1016/j.bcab.2022.102281</v>
      </c>
      <c r="BG11" t="s">
        <v>74</v>
      </c>
      <c r="BH11" t="s">
        <v>389</v>
      </c>
      <c r="BI11">
        <v>12</v>
      </c>
      <c r="BJ11" t="s">
        <v>1454</v>
      </c>
      <c r="BK11" t="s">
        <v>187</v>
      </c>
      <c r="BL11" t="s">
        <v>1454</v>
      </c>
      <c r="BM11" t="s">
        <v>1455</v>
      </c>
      <c r="BN11" t="s">
        <v>74</v>
      </c>
      <c r="BO11" t="s">
        <v>74</v>
      </c>
      <c r="BP11" t="s">
        <v>74</v>
      </c>
      <c r="BQ11" t="s">
        <v>74</v>
      </c>
      <c r="BR11" t="s">
        <v>105</v>
      </c>
      <c r="BS11" t="s">
        <v>1456</v>
      </c>
      <c r="BT11" t="str">
        <f>HYPERLINK("https%3A%2F%2Fwww.webofscience.com%2Fwos%2Fwoscc%2Ffull-record%2FWOS:000768808800001","View Full Record in Web of Science")</f>
        <v>View Full Record in Web of Science</v>
      </c>
    </row>
    <row r="12" spans="1:72" x14ac:dyDescent="0.2">
      <c r="A12" t="s">
        <v>72</v>
      </c>
      <c r="B12" t="s">
        <v>6204</v>
      </c>
      <c r="C12" t="s">
        <v>74</v>
      </c>
      <c r="D12" t="s">
        <v>74</v>
      </c>
      <c r="E12" t="s">
        <v>74</v>
      </c>
      <c r="F12" t="s">
        <v>6205</v>
      </c>
      <c r="G12" t="s">
        <v>74</v>
      </c>
      <c r="H12" t="s">
        <v>74</v>
      </c>
      <c r="I12" t="s">
        <v>6206</v>
      </c>
      <c r="J12" t="s">
        <v>6207</v>
      </c>
      <c r="K12" t="s">
        <v>74</v>
      </c>
      <c r="L12" t="s">
        <v>74</v>
      </c>
      <c r="M12" t="s">
        <v>1517</v>
      </c>
      <c r="N12" t="s">
        <v>79</v>
      </c>
      <c r="O12" t="s">
        <v>74</v>
      </c>
      <c r="P12" t="s">
        <v>74</v>
      </c>
      <c r="Q12" t="s">
        <v>74</v>
      </c>
      <c r="R12" t="s">
        <v>74</v>
      </c>
      <c r="S12" t="s">
        <v>74</v>
      </c>
      <c r="T12" t="s">
        <v>6208</v>
      </c>
      <c r="U12" t="s">
        <v>74</v>
      </c>
      <c r="V12" t="s">
        <v>6209</v>
      </c>
      <c r="W12" s="1" t="s">
        <v>6210</v>
      </c>
      <c r="X12" t="s">
        <v>6211</v>
      </c>
      <c r="Y12" t="s">
        <v>6212</v>
      </c>
      <c r="Z12" t="s">
        <v>6213</v>
      </c>
      <c r="AA12" t="s">
        <v>74</v>
      </c>
      <c r="AB12" t="s">
        <v>74</v>
      </c>
      <c r="AC12" t="s">
        <v>74</v>
      </c>
      <c r="AD12" t="s">
        <v>74</v>
      </c>
      <c r="AE12" t="s">
        <v>74</v>
      </c>
      <c r="AF12" t="s">
        <v>6214</v>
      </c>
      <c r="AG12">
        <v>42</v>
      </c>
      <c r="AH12">
        <v>0</v>
      </c>
      <c r="AI12">
        <v>0</v>
      </c>
      <c r="AJ12">
        <v>0</v>
      </c>
      <c r="AK12">
        <v>0</v>
      </c>
      <c r="AL12" t="s">
        <v>6215</v>
      </c>
      <c r="AM12" t="s">
        <v>6216</v>
      </c>
      <c r="AN12" t="s">
        <v>6217</v>
      </c>
      <c r="AO12" t="s">
        <v>6218</v>
      </c>
      <c r="AP12" t="s">
        <v>6219</v>
      </c>
      <c r="AQ12" t="s">
        <v>74</v>
      </c>
      <c r="AR12" t="s">
        <v>6220</v>
      </c>
      <c r="AS12" t="s">
        <v>6221</v>
      </c>
      <c r="AT12" t="s">
        <v>1487</v>
      </c>
      <c r="AU12">
        <v>2022</v>
      </c>
      <c r="AV12">
        <v>22</v>
      </c>
      <c r="AW12">
        <v>2</v>
      </c>
      <c r="AX12" t="s">
        <v>74</v>
      </c>
      <c r="AY12" t="s">
        <v>74</v>
      </c>
      <c r="AZ12" t="s">
        <v>74</v>
      </c>
      <c r="BA12" t="s">
        <v>74</v>
      </c>
      <c r="BB12">
        <v>198</v>
      </c>
      <c r="BC12">
        <v>205</v>
      </c>
      <c r="BD12" t="s">
        <v>74</v>
      </c>
      <c r="BE12" t="s">
        <v>6222</v>
      </c>
      <c r="BF12" t="str">
        <f>HYPERLINK("http://dx.doi.org/10.30554/arch-med.22.2.4546.2022","http://dx.doi.org/10.30554/arch-med.22.2.4546.2022")</f>
        <v>http://dx.doi.org/10.30554/arch-med.22.2.4546.2022</v>
      </c>
      <c r="BG12" t="s">
        <v>74</v>
      </c>
      <c r="BH12" t="s">
        <v>74</v>
      </c>
      <c r="BI12">
        <v>8</v>
      </c>
      <c r="BJ12" t="s">
        <v>3958</v>
      </c>
      <c r="BK12" t="s">
        <v>187</v>
      </c>
      <c r="BL12" t="s">
        <v>3959</v>
      </c>
      <c r="BM12" t="s">
        <v>6223</v>
      </c>
      <c r="BN12" t="s">
        <v>74</v>
      </c>
      <c r="BO12" t="s">
        <v>74</v>
      </c>
      <c r="BP12" t="s">
        <v>74</v>
      </c>
      <c r="BQ12" t="s">
        <v>74</v>
      </c>
      <c r="BR12" t="s">
        <v>105</v>
      </c>
      <c r="BS12" t="s">
        <v>6224</v>
      </c>
      <c r="BT12" t="str">
        <f>HYPERLINK("https%3A%2F%2Fwww.webofscience.com%2Fwos%2Fwoscc%2Ffull-record%2FWOS:000985914700003","View Full Record in Web of Science")</f>
        <v>View Full Record in Web of Science</v>
      </c>
    </row>
    <row r="13" spans="1:72" x14ac:dyDescent="0.2">
      <c r="A13" t="s">
        <v>72</v>
      </c>
      <c r="B13" t="s">
        <v>1457</v>
      </c>
      <c r="C13" t="s">
        <v>74</v>
      </c>
      <c r="D13" t="s">
        <v>74</v>
      </c>
      <c r="E13" t="s">
        <v>74</v>
      </c>
      <c r="F13" t="s">
        <v>1458</v>
      </c>
      <c r="G13" t="s">
        <v>74</v>
      </c>
      <c r="H13" t="s">
        <v>74</v>
      </c>
      <c r="I13" t="s">
        <v>1459</v>
      </c>
      <c r="J13" t="s">
        <v>305</v>
      </c>
      <c r="K13" t="s">
        <v>74</v>
      </c>
      <c r="L13" t="s">
        <v>74</v>
      </c>
      <c r="M13" t="s">
        <v>78</v>
      </c>
      <c r="N13" t="s">
        <v>79</v>
      </c>
      <c r="O13" t="s">
        <v>74</v>
      </c>
      <c r="P13" t="s">
        <v>74</v>
      </c>
      <c r="Q13" t="s">
        <v>74</v>
      </c>
      <c r="R13" t="s">
        <v>74</v>
      </c>
      <c r="S13" t="s">
        <v>74</v>
      </c>
      <c r="T13" t="s">
        <v>1460</v>
      </c>
      <c r="U13" t="s">
        <v>1461</v>
      </c>
      <c r="V13" t="s">
        <v>1462</v>
      </c>
      <c r="W13" s="1" t="s">
        <v>1463</v>
      </c>
      <c r="X13" t="s">
        <v>84</v>
      </c>
      <c r="Y13" t="s">
        <v>1464</v>
      </c>
      <c r="Z13" t="s">
        <v>1465</v>
      </c>
      <c r="AA13" t="s">
        <v>74</v>
      </c>
      <c r="AB13" t="s">
        <v>1466</v>
      </c>
      <c r="AC13" t="s">
        <v>74</v>
      </c>
      <c r="AD13" t="s">
        <v>74</v>
      </c>
      <c r="AE13" t="s">
        <v>74</v>
      </c>
      <c r="AF13" t="s">
        <v>1467</v>
      </c>
      <c r="AG13">
        <v>25</v>
      </c>
      <c r="AH13">
        <v>0</v>
      </c>
      <c r="AI13">
        <v>0</v>
      </c>
      <c r="AJ13">
        <v>1</v>
      </c>
      <c r="AK13">
        <v>1</v>
      </c>
      <c r="AL13" t="s">
        <v>315</v>
      </c>
      <c r="AM13" t="s">
        <v>316</v>
      </c>
      <c r="AN13" t="s">
        <v>317</v>
      </c>
      <c r="AO13" t="s">
        <v>318</v>
      </c>
      <c r="AP13" t="s">
        <v>319</v>
      </c>
      <c r="AQ13" t="s">
        <v>74</v>
      </c>
      <c r="AR13" t="s">
        <v>320</v>
      </c>
      <c r="AS13" t="s">
        <v>321</v>
      </c>
      <c r="AT13" t="s">
        <v>74</v>
      </c>
      <c r="AU13">
        <v>2022</v>
      </c>
      <c r="AV13">
        <v>18</v>
      </c>
      <c r="AW13">
        <v>1</v>
      </c>
      <c r="AX13" t="s">
        <v>74</v>
      </c>
      <c r="AY13" t="s">
        <v>74</v>
      </c>
      <c r="AZ13" t="s">
        <v>74</v>
      </c>
      <c r="BA13" t="s">
        <v>74</v>
      </c>
      <c r="BB13" t="s">
        <v>74</v>
      </c>
      <c r="BC13" t="s">
        <v>74</v>
      </c>
      <c r="BD13" t="s">
        <v>74</v>
      </c>
      <c r="BE13" t="s">
        <v>1468</v>
      </c>
      <c r="BF13" t="str">
        <f>HYPERLINK("http://dx.doi.org/10.16925/2357-6014.2022.01.07","http://dx.doi.org/10.16925/2357-6014.2022.01.07")</f>
        <v>http://dx.doi.org/10.16925/2357-6014.2022.01.07</v>
      </c>
      <c r="BG13" t="s">
        <v>74</v>
      </c>
      <c r="BH13" t="s">
        <v>74</v>
      </c>
      <c r="BI13">
        <v>18</v>
      </c>
      <c r="BJ13" t="s">
        <v>323</v>
      </c>
      <c r="BK13" t="s">
        <v>187</v>
      </c>
      <c r="BL13" t="s">
        <v>324</v>
      </c>
      <c r="BM13" t="s">
        <v>325</v>
      </c>
      <c r="BN13" t="s">
        <v>74</v>
      </c>
      <c r="BO13" t="s">
        <v>74</v>
      </c>
      <c r="BP13" t="s">
        <v>74</v>
      </c>
      <c r="BQ13" t="s">
        <v>74</v>
      </c>
      <c r="BR13" t="s">
        <v>105</v>
      </c>
      <c r="BS13" t="s">
        <v>1469</v>
      </c>
      <c r="BT13" t="str">
        <f>HYPERLINK("https%3A%2F%2Fwww.webofscience.com%2Fwos%2Fwoscc%2Ffull-record%2FWOS:000835195900002","View Full Record in Web of Science")</f>
        <v>View Full Record in Web of Science</v>
      </c>
    </row>
    <row r="14" spans="1:72" x14ac:dyDescent="0.2">
      <c r="A14" t="s">
        <v>72</v>
      </c>
      <c r="B14" t="s">
        <v>5796</v>
      </c>
      <c r="C14" t="s">
        <v>74</v>
      </c>
      <c r="D14" t="s">
        <v>74</v>
      </c>
      <c r="E14" t="s">
        <v>74</v>
      </c>
      <c r="F14" t="s">
        <v>5797</v>
      </c>
      <c r="G14" t="s">
        <v>74</v>
      </c>
      <c r="H14" t="s">
        <v>74</v>
      </c>
      <c r="I14" t="s">
        <v>5798</v>
      </c>
      <c r="J14" t="s">
        <v>5799</v>
      </c>
      <c r="K14" t="s">
        <v>74</v>
      </c>
      <c r="L14" t="s">
        <v>74</v>
      </c>
      <c r="M14" t="s">
        <v>78</v>
      </c>
      <c r="N14" t="s">
        <v>137</v>
      </c>
      <c r="O14" t="s">
        <v>74</v>
      </c>
      <c r="P14" t="s">
        <v>74</v>
      </c>
      <c r="Q14" t="s">
        <v>74</v>
      </c>
      <c r="R14" t="s">
        <v>74</v>
      </c>
      <c r="S14" t="s">
        <v>74</v>
      </c>
      <c r="T14" t="s">
        <v>5800</v>
      </c>
      <c r="U14" t="s">
        <v>5801</v>
      </c>
      <c r="V14" t="s">
        <v>5802</v>
      </c>
      <c r="W14" s="1" t="s">
        <v>5803</v>
      </c>
      <c r="X14" t="s">
        <v>5804</v>
      </c>
      <c r="Y14" t="s">
        <v>5805</v>
      </c>
      <c r="Z14" t="s">
        <v>5806</v>
      </c>
      <c r="AA14" t="s">
        <v>74</v>
      </c>
      <c r="AB14" t="s">
        <v>5807</v>
      </c>
      <c r="AC14" t="s">
        <v>5808</v>
      </c>
      <c r="AD14" t="s">
        <v>5809</v>
      </c>
      <c r="AE14" t="s">
        <v>5810</v>
      </c>
      <c r="AF14" t="s">
        <v>5811</v>
      </c>
      <c r="AG14">
        <v>30</v>
      </c>
      <c r="AH14">
        <v>0</v>
      </c>
      <c r="AI14">
        <v>0</v>
      </c>
      <c r="AJ14">
        <v>0</v>
      </c>
      <c r="AK14">
        <v>0</v>
      </c>
      <c r="AL14" t="s">
        <v>437</v>
      </c>
      <c r="AM14" t="s">
        <v>151</v>
      </c>
      <c r="AN14" t="s">
        <v>4845</v>
      </c>
      <c r="AO14" t="s">
        <v>5812</v>
      </c>
      <c r="AP14" t="s">
        <v>5813</v>
      </c>
      <c r="AQ14" t="s">
        <v>74</v>
      </c>
      <c r="AR14" t="s">
        <v>5814</v>
      </c>
      <c r="AS14" t="s">
        <v>5815</v>
      </c>
      <c r="AT14" t="s">
        <v>5816</v>
      </c>
      <c r="AU14">
        <v>2022</v>
      </c>
      <c r="AV14" t="s">
        <v>74</v>
      </c>
      <c r="AW14" t="s">
        <v>74</v>
      </c>
      <c r="AX14" t="s">
        <v>74</v>
      </c>
      <c r="AY14" t="s">
        <v>74</v>
      </c>
      <c r="AZ14" t="s">
        <v>74</v>
      </c>
      <c r="BA14" t="s">
        <v>74</v>
      </c>
      <c r="BB14" t="s">
        <v>74</v>
      </c>
      <c r="BC14" t="s">
        <v>74</v>
      </c>
      <c r="BD14" t="s">
        <v>5817</v>
      </c>
      <c r="BE14" t="s">
        <v>5818</v>
      </c>
      <c r="BF14" t="str">
        <f>HYPERLINK("http://dx.doi.org/10.1017/etds.2022.44","http://dx.doi.org/10.1017/etds.2022.44")</f>
        <v>http://dx.doi.org/10.1017/etds.2022.44</v>
      </c>
      <c r="BG14" t="s">
        <v>74</v>
      </c>
      <c r="BH14" t="s">
        <v>501</v>
      </c>
      <c r="BI14">
        <v>35</v>
      </c>
      <c r="BJ14" t="s">
        <v>3121</v>
      </c>
      <c r="BK14" t="s">
        <v>102</v>
      </c>
      <c r="BL14" t="s">
        <v>576</v>
      </c>
      <c r="BM14" t="s">
        <v>5819</v>
      </c>
      <c r="BN14" t="s">
        <v>74</v>
      </c>
      <c r="BO14" t="s">
        <v>1082</v>
      </c>
      <c r="BP14" t="s">
        <v>74</v>
      </c>
      <c r="BQ14" t="s">
        <v>74</v>
      </c>
      <c r="BR14" t="s">
        <v>105</v>
      </c>
      <c r="BS14" t="s">
        <v>5820</v>
      </c>
      <c r="BT14" t="str">
        <f>HYPERLINK("https%3A%2F%2Fwww.webofscience.com%2Fwos%2Fwoscc%2Ffull-record%2FWOS:000830856900001","View Full Record in Web of Science")</f>
        <v>View Full Record in Web of Science</v>
      </c>
    </row>
    <row r="15" spans="1:72" x14ac:dyDescent="0.2">
      <c r="A15" t="s">
        <v>72</v>
      </c>
      <c r="B15" t="s">
        <v>5821</v>
      </c>
      <c r="C15" t="s">
        <v>74</v>
      </c>
      <c r="D15" t="s">
        <v>74</v>
      </c>
      <c r="E15" t="s">
        <v>74</v>
      </c>
      <c r="F15" t="s">
        <v>5822</v>
      </c>
      <c r="G15" t="s">
        <v>74</v>
      </c>
      <c r="H15" t="s">
        <v>74</v>
      </c>
      <c r="I15" t="s">
        <v>5823</v>
      </c>
      <c r="J15" t="s">
        <v>5824</v>
      </c>
      <c r="K15" t="s">
        <v>74</v>
      </c>
      <c r="L15" t="s">
        <v>74</v>
      </c>
      <c r="M15" t="s">
        <v>78</v>
      </c>
      <c r="N15" t="s">
        <v>167</v>
      </c>
      <c r="O15" t="s">
        <v>74</v>
      </c>
      <c r="P15" t="s">
        <v>74</v>
      </c>
      <c r="Q15" t="s">
        <v>74</v>
      </c>
      <c r="R15" t="s">
        <v>74</v>
      </c>
      <c r="S15" t="s">
        <v>74</v>
      </c>
      <c r="T15" t="s">
        <v>5825</v>
      </c>
      <c r="U15" t="s">
        <v>74</v>
      </c>
      <c r="V15" t="s">
        <v>5826</v>
      </c>
      <c r="W15" s="1" t="s">
        <v>5827</v>
      </c>
      <c r="X15" t="s">
        <v>5828</v>
      </c>
      <c r="Y15" t="s">
        <v>5829</v>
      </c>
      <c r="Z15" t="s">
        <v>5830</v>
      </c>
      <c r="AA15" t="s">
        <v>74</v>
      </c>
      <c r="AB15" t="s">
        <v>5807</v>
      </c>
      <c r="AC15" t="s">
        <v>5831</v>
      </c>
      <c r="AD15" t="s">
        <v>5831</v>
      </c>
      <c r="AE15" t="s">
        <v>5832</v>
      </c>
      <c r="AF15" t="s">
        <v>5833</v>
      </c>
      <c r="AG15">
        <v>17</v>
      </c>
      <c r="AH15">
        <v>0</v>
      </c>
      <c r="AI15">
        <v>0</v>
      </c>
      <c r="AJ15">
        <v>0</v>
      </c>
      <c r="AK15">
        <v>2</v>
      </c>
      <c r="AL15" t="s">
        <v>1024</v>
      </c>
      <c r="AM15" t="s">
        <v>620</v>
      </c>
      <c r="AN15" t="s">
        <v>1025</v>
      </c>
      <c r="AO15" t="s">
        <v>5834</v>
      </c>
      <c r="AP15" t="s">
        <v>5835</v>
      </c>
      <c r="AQ15" t="s">
        <v>74</v>
      </c>
      <c r="AR15" t="s">
        <v>5836</v>
      </c>
      <c r="AS15" t="s">
        <v>5837</v>
      </c>
      <c r="AT15" t="s">
        <v>2641</v>
      </c>
      <c r="AU15">
        <v>2022</v>
      </c>
      <c r="AV15">
        <v>158</v>
      </c>
      <c r="AW15" t="s">
        <v>74</v>
      </c>
      <c r="AX15" t="s">
        <v>74</v>
      </c>
      <c r="AY15" t="s">
        <v>74</v>
      </c>
      <c r="AZ15" t="s">
        <v>74</v>
      </c>
      <c r="BA15" t="s">
        <v>74</v>
      </c>
      <c r="BB15" t="s">
        <v>74</v>
      </c>
      <c r="BC15" t="s">
        <v>74</v>
      </c>
      <c r="BD15">
        <v>112009</v>
      </c>
      <c r="BE15" t="s">
        <v>5838</v>
      </c>
      <c r="BF15" t="str">
        <f>HYPERLINK("http://dx.doi.org/10.1016/j.chaos.2022.112009","http://dx.doi.org/10.1016/j.chaos.2022.112009")</f>
        <v>http://dx.doi.org/10.1016/j.chaos.2022.112009</v>
      </c>
      <c r="BG15" t="s">
        <v>74</v>
      </c>
      <c r="BH15" t="s">
        <v>271</v>
      </c>
      <c r="BI15">
        <v>8</v>
      </c>
      <c r="BJ15" t="s">
        <v>5839</v>
      </c>
      <c r="BK15" t="s">
        <v>102</v>
      </c>
      <c r="BL15" t="s">
        <v>5840</v>
      </c>
      <c r="BM15" t="s">
        <v>5841</v>
      </c>
      <c r="BN15" t="s">
        <v>74</v>
      </c>
      <c r="BO15" t="s">
        <v>1082</v>
      </c>
      <c r="BP15" t="s">
        <v>74</v>
      </c>
      <c r="BQ15" t="s">
        <v>74</v>
      </c>
      <c r="BR15" t="s">
        <v>105</v>
      </c>
      <c r="BS15" t="s">
        <v>5842</v>
      </c>
      <c r="BT15" t="str">
        <f>HYPERLINK("https%3A%2F%2Fwww.webofscience.com%2Fwos%2Fwoscc%2Ffull-record%2FWOS:000798778300016","View Full Record in Web of Science")</f>
        <v>View Full Record in Web of Science</v>
      </c>
    </row>
    <row r="16" spans="1:72" x14ac:dyDescent="0.2">
      <c r="A16" t="s">
        <v>72</v>
      </c>
      <c r="B16" t="s">
        <v>5120</v>
      </c>
      <c r="C16" t="s">
        <v>74</v>
      </c>
      <c r="D16" t="s">
        <v>74</v>
      </c>
      <c r="E16" t="s">
        <v>74</v>
      </c>
      <c r="F16" t="s">
        <v>5121</v>
      </c>
      <c r="G16" t="s">
        <v>74</v>
      </c>
      <c r="H16" t="s">
        <v>74</v>
      </c>
      <c r="I16" t="s">
        <v>5122</v>
      </c>
      <c r="J16" t="s">
        <v>5123</v>
      </c>
      <c r="K16" t="s">
        <v>74</v>
      </c>
      <c r="L16" t="s">
        <v>74</v>
      </c>
      <c r="M16" t="s">
        <v>1517</v>
      </c>
      <c r="N16" t="s">
        <v>79</v>
      </c>
      <c r="O16" t="s">
        <v>74</v>
      </c>
      <c r="P16" t="s">
        <v>74</v>
      </c>
      <c r="Q16" t="s">
        <v>74</v>
      </c>
      <c r="R16" t="s">
        <v>74</v>
      </c>
      <c r="S16" t="s">
        <v>74</v>
      </c>
      <c r="T16" t="s">
        <v>5124</v>
      </c>
      <c r="U16" t="s">
        <v>74</v>
      </c>
      <c r="V16" t="s">
        <v>5125</v>
      </c>
      <c r="W16" s="1" t="s">
        <v>5126</v>
      </c>
      <c r="X16" t="s">
        <v>142</v>
      </c>
      <c r="Y16" t="s">
        <v>5127</v>
      </c>
      <c r="Z16" t="s">
        <v>5128</v>
      </c>
      <c r="AA16" t="s">
        <v>74</v>
      </c>
      <c r="AB16" t="s">
        <v>74</v>
      </c>
      <c r="AC16" t="s">
        <v>74</v>
      </c>
      <c r="AD16" t="s">
        <v>74</v>
      </c>
      <c r="AE16" t="s">
        <v>74</v>
      </c>
      <c r="AF16" t="s">
        <v>5129</v>
      </c>
      <c r="AG16">
        <v>33</v>
      </c>
      <c r="AH16">
        <v>0</v>
      </c>
      <c r="AI16">
        <v>0</v>
      </c>
      <c r="AJ16">
        <v>5</v>
      </c>
      <c r="AK16">
        <v>5</v>
      </c>
      <c r="AL16" t="s">
        <v>5130</v>
      </c>
      <c r="AM16" t="s">
        <v>316</v>
      </c>
      <c r="AN16" t="s">
        <v>5131</v>
      </c>
      <c r="AO16" t="s">
        <v>5132</v>
      </c>
      <c r="AP16" t="s">
        <v>5133</v>
      </c>
      <c r="AQ16" t="s">
        <v>74</v>
      </c>
      <c r="AR16" t="s">
        <v>5123</v>
      </c>
      <c r="AS16" t="s">
        <v>5134</v>
      </c>
      <c r="AT16" t="s">
        <v>1487</v>
      </c>
      <c r="AU16">
        <v>2022</v>
      </c>
      <c r="AV16">
        <v>16</v>
      </c>
      <c r="AW16">
        <v>31</v>
      </c>
      <c r="AX16" t="s">
        <v>74</v>
      </c>
      <c r="AY16" t="s">
        <v>74</v>
      </c>
      <c r="AZ16" t="s">
        <v>74</v>
      </c>
      <c r="BA16" t="s">
        <v>74</v>
      </c>
      <c r="BB16" t="s">
        <v>74</v>
      </c>
      <c r="BC16" t="s">
        <v>74</v>
      </c>
      <c r="BD16" t="s">
        <v>74</v>
      </c>
      <c r="BE16" t="s">
        <v>74</v>
      </c>
      <c r="BF16" t="s">
        <v>74</v>
      </c>
      <c r="BG16" t="s">
        <v>74</v>
      </c>
      <c r="BH16" t="s">
        <v>74</v>
      </c>
      <c r="BI16">
        <v>31</v>
      </c>
      <c r="BJ16" t="s">
        <v>2070</v>
      </c>
      <c r="BK16" t="s">
        <v>187</v>
      </c>
      <c r="BL16" t="s">
        <v>1960</v>
      </c>
      <c r="BM16" t="s">
        <v>5135</v>
      </c>
      <c r="BN16" t="s">
        <v>74</v>
      </c>
      <c r="BO16" t="s">
        <v>74</v>
      </c>
      <c r="BP16" t="s">
        <v>74</v>
      </c>
      <c r="BQ16" t="s">
        <v>74</v>
      </c>
      <c r="BR16" t="s">
        <v>105</v>
      </c>
      <c r="BS16" t="s">
        <v>5136</v>
      </c>
      <c r="BT16" t="str">
        <f>HYPERLINK("https%3A%2F%2Fwww.webofscience.com%2Fwos%2Fwoscc%2Ffull-record%2FWOS:000830498600001","View Full Record in Web of Science")</f>
        <v>View Full Record in Web of Science</v>
      </c>
    </row>
    <row r="17" spans="1:72" x14ac:dyDescent="0.2">
      <c r="A17" t="s">
        <v>72</v>
      </c>
      <c r="B17" t="s">
        <v>604</v>
      </c>
      <c r="C17" t="s">
        <v>74</v>
      </c>
      <c r="D17" t="s">
        <v>74</v>
      </c>
      <c r="E17" t="s">
        <v>74</v>
      </c>
      <c r="F17" t="s">
        <v>605</v>
      </c>
      <c r="G17" t="s">
        <v>74</v>
      </c>
      <c r="H17" t="s">
        <v>74</v>
      </c>
      <c r="I17" t="s">
        <v>606</v>
      </c>
      <c r="J17" t="s">
        <v>607</v>
      </c>
      <c r="K17" t="s">
        <v>74</v>
      </c>
      <c r="L17" t="s">
        <v>74</v>
      </c>
      <c r="M17" t="s">
        <v>78</v>
      </c>
      <c r="N17" t="s">
        <v>79</v>
      </c>
      <c r="O17" t="s">
        <v>74</v>
      </c>
      <c r="P17" t="s">
        <v>74</v>
      </c>
      <c r="Q17" t="s">
        <v>74</v>
      </c>
      <c r="R17" t="s">
        <v>74</v>
      </c>
      <c r="S17" t="s">
        <v>74</v>
      </c>
      <c r="T17" t="s">
        <v>608</v>
      </c>
      <c r="U17" t="s">
        <v>609</v>
      </c>
      <c r="V17" t="s">
        <v>610</v>
      </c>
      <c r="W17" s="1" t="s">
        <v>611</v>
      </c>
      <c r="X17" t="s">
        <v>84</v>
      </c>
      <c r="Y17" t="s">
        <v>612</v>
      </c>
      <c r="Z17" t="s">
        <v>613</v>
      </c>
      <c r="AA17" t="s">
        <v>74</v>
      </c>
      <c r="AB17" t="s">
        <v>614</v>
      </c>
      <c r="AC17" t="s">
        <v>615</v>
      </c>
      <c r="AD17" t="s">
        <v>616</v>
      </c>
      <c r="AE17" t="s">
        <v>617</v>
      </c>
      <c r="AF17" t="s">
        <v>618</v>
      </c>
      <c r="AG17">
        <v>51</v>
      </c>
      <c r="AH17">
        <v>1</v>
      </c>
      <c r="AI17">
        <v>1</v>
      </c>
      <c r="AJ17">
        <v>1</v>
      </c>
      <c r="AK17">
        <v>1</v>
      </c>
      <c r="AL17" t="s">
        <v>619</v>
      </c>
      <c r="AM17" t="s">
        <v>620</v>
      </c>
      <c r="AN17" t="s">
        <v>621</v>
      </c>
      <c r="AO17" t="s">
        <v>74</v>
      </c>
      <c r="AP17" t="s">
        <v>622</v>
      </c>
      <c r="AQ17" t="s">
        <v>74</v>
      </c>
      <c r="AR17" t="s">
        <v>607</v>
      </c>
      <c r="AS17" t="s">
        <v>623</v>
      </c>
      <c r="AT17" t="s">
        <v>126</v>
      </c>
      <c r="AU17">
        <v>2022</v>
      </c>
      <c r="AV17">
        <v>8</v>
      </c>
      <c r="AW17">
        <v>6</v>
      </c>
      <c r="AX17" t="s">
        <v>74</v>
      </c>
      <c r="AY17" t="s">
        <v>74</v>
      </c>
      <c r="AZ17" t="s">
        <v>74</v>
      </c>
      <c r="BA17" t="s">
        <v>74</v>
      </c>
      <c r="BB17" t="s">
        <v>74</v>
      </c>
      <c r="BC17" t="s">
        <v>74</v>
      </c>
      <c r="BD17" t="s">
        <v>624</v>
      </c>
      <c r="BE17" t="s">
        <v>625</v>
      </c>
      <c r="BF17" t="str">
        <f>HYPERLINK("http://dx.doi.org/10.1016/j.heliyon.2022.e09673","http://dx.doi.org/10.1016/j.heliyon.2022.e09673")</f>
        <v>http://dx.doi.org/10.1016/j.heliyon.2022.e09673</v>
      </c>
      <c r="BG17" t="s">
        <v>74</v>
      </c>
      <c r="BH17" t="s">
        <v>626</v>
      </c>
      <c r="BI17">
        <v>9</v>
      </c>
      <c r="BJ17" t="s">
        <v>627</v>
      </c>
      <c r="BK17" t="s">
        <v>102</v>
      </c>
      <c r="BL17" t="s">
        <v>628</v>
      </c>
      <c r="BM17" t="s">
        <v>629</v>
      </c>
      <c r="BN17">
        <v>35711992</v>
      </c>
      <c r="BO17" t="s">
        <v>131</v>
      </c>
      <c r="BP17" t="s">
        <v>74</v>
      </c>
      <c r="BQ17" t="s">
        <v>74</v>
      </c>
      <c r="BR17" t="s">
        <v>105</v>
      </c>
      <c r="BS17" t="s">
        <v>630</v>
      </c>
      <c r="BT17" t="str">
        <f>HYPERLINK("https%3A%2F%2Fwww.webofscience.com%2Fwos%2Fwoscc%2Ffull-record%2FWOS:000836523000021","View Full Record in Web of Science")</f>
        <v>View Full Record in Web of Science</v>
      </c>
    </row>
    <row r="18" spans="1:72" x14ac:dyDescent="0.2">
      <c r="A18" t="s">
        <v>72</v>
      </c>
      <c r="B18" t="s">
        <v>393</v>
      </c>
      <c r="C18" t="s">
        <v>74</v>
      </c>
      <c r="D18" t="s">
        <v>74</v>
      </c>
      <c r="E18" t="s">
        <v>74</v>
      </c>
      <c r="F18" t="s">
        <v>394</v>
      </c>
      <c r="G18" t="s">
        <v>74</v>
      </c>
      <c r="H18" t="s">
        <v>74</v>
      </c>
      <c r="I18" t="s">
        <v>395</v>
      </c>
      <c r="J18" t="s">
        <v>396</v>
      </c>
      <c r="K18" t="s">
        <v>74</v>
      </c>
      <c r="L18" t="s">
        <v>74</v>
      </c>
      <c r="M18" t="s">
        <v>78</v>
      </c>
      <c r="N18" t="s">
        <v>79</v>
      </c>
      <c r="O18" t="s">
        <v>74</v>
      </c>
      <c r="P18" t="s">
        <v>74</v>
      </c>
      <c r="Q18" t="s">
        <v>74</v>
      </c>
      <c r="R18" t="s">
        <v>74</v>
      </c>
      <c r="S18" t="s">
        <v>74</v>
      </c>
      <c r="T18" t="s">
        <v>397</v>
      </c>
      <c r="U18" t="s">
        <v>398</v>
      </c>
      <c r="V18" t="s">
        <v>399</v>
      </c>
      <c r="W18" s="1" t="s">
        <v>400</v>
      </c>
      <c r="X18" t="s">
        <v>84</v>
      </c>
      <c r="Y18" t="s">
        <v>401</v>
      </c>
      <c r="Z18" t="s">
        <v>402</v>
      </c>
      <c r="AA18" t="s">
        <v>403</v>
      </c>
      <c r="AB18" t="s">
        <v>404</v>
      </c>
      <c r="AC18" t="s">
        <v>405</v>
      </c>
      <c r="AD18" t="s">
        <v>406</v>
      </c>
      <c r="AE18" t="s">
        <v>407</v>
      </c>
      <c r="AF18" t="s">
        <v>408</v>
      </c>
      <c r="AG18">
        <v>27</v>
      </c>
      <c r="AH18">
        <v>0</v>
      </c>
      <c r="AI18">
        <v>0</v>
      </c>
      <c r="AJ18">
        <v>2</v>
      </c>
      <c r="AK18">
        <v>4</v>
      </c>
      <c r="AL18" t="s">
        <v>409</v>
      </c>
      <c r="AM18" t="s">
        <v>410</v>
      </c>
      <c r="AN18" t="s">
        <v>411</v>
      </c>
      <c r="AO18" t="s">
        <v>412</v>
      </c>
      <c r="AP18" t="s">
        <v>413</v>
      </c>
      <c r="AQ18" t="s">
        <v>74</v>
      </c>
      <c r="AR18" t="s">
        <v>414</v>
      </c>
      <c r="AS18" t="s">
        <v>415</v>
      </c>
      <c r="AT18" t="s">
        <v>416</v>
      </c>
      <c r="AU18">
        <v>2022</v>
      </c>
      <c r="AV18" t="s">
        <v>74</v>
      </c>
      <c r="AW18">
        <v>105</v>
      </c>
      <c r="AX18" t="s">
        <v>74</v>
      </c>
      <c r="AY18" t="s">
        <v>74</v>
      </c>
      <c r="AZ18" t="s">
        <v>74</v>
      </c>
      <c r="BA18" t="s">
        <v>74</v>
      </c>
      <c r="BB18">
        <v>29</v>
      </c>
      <c r="BC18">
        <v>36</v>
      </c>
      <c r="BD18" t="s">
        <v>74</v>
      </c>
      <c r="BE18" t="s">
        <v>417</v>
      </c>
      <c r="BF18" t="str">
        <f>HYPERLINK("http://dx.doi.org/10.17533/udea.redin.20210531","http://dx.doi.org/10.17533/udea.redin.20210531")</f>
        <v>http://dx.doi.org/10.17533/udea.redin.20210531</v>
      </c>
      <c r="BG18" t="s">
        <v>74</v>
      </c>
      <c r="BH18" t="s">
        <v>74</v>
      </c>
      <c r="BI18">
        <v>8</v>
      </c>
      <c r="BJ18" t="s">
        <v>323</v>
      </c>
      <c r="BK18" t="s">
        <v>187</v>
      </c>
      <c r="BL18" t="s">
        <v>324</v>
      </c>
      <c r="BM18" t="s">
        <v>418</v>
      </c>
      <c r="BN18" t="s">
        <v>74</v>
      </c>
      <c r="BO18" t="s">
        <v>419</v>
      </c>
      <c r="BP18" t="s">
        <v>74</v>
      </c>
      <c r="BQ18" t="s">
        <v>74</v>
      </c>
      <c r="BR18" t="s">
        <v>105</v>
      </c>
      <c r="BS18" t="s">
        <v>420</v>
      </c>
      <c r="BT18" t="str">
        <f>HYPERLINK("https%3A%2F%2Fwww.webofscience.com%2Fwos%2Fwoscc%2Ffull-record%2FWOS:000827583900003","View Full Record in Web of Science")</f>
        <v>View Full Record in Web of Science</v>
      </c>
    </row>
    <row r="19" spans="1:72" x14ac:dyDescent="0.2">
      <c r="A19" t="s">
        <v>72</v>
      </c>
      <c r="B19" t="s">
        <v>1007</v>
      </c>
      <c r="C19" t="s">
        <v>74</v>
      </c>
      <c r="D19" t="s">
        <v>74</v>
      </c>
      <c r="E19" t="s">
        <v>74</v>
      </c>
      <c r="F19" t="s">
        <v>1008</v>
      </c>
      <c r="G19" t="s">
        <v>74</v>
      </c>
      <c r="H19" t="s">
        <v>74</v>
      </c>
      <c r="I19" t="s">
        <v>1009</v>
      </c>
      <c r="J19" t="s">
        <v>1010</v>
      </c>
      <c r="K19" t="s">
        <v>74</v>
      </c>
      <c r="L19" t="s">
        <v>74</v>
      </c>
      <c r="M19" t="s">
        <v>78</v>
      </c>
      <c r="N19" t="s">
        <v>79</v>
      </c>
      <c r="O19" t="s">
        <v>74</v>
      </c>
      <c r="P19" t="s">
        <v>74</v>
      </c>
      <c r="Q19" t="s">
        <v>74</v>
      </c>
      <c r="R19" t="s">
        <v>74</v>
      </c>
      <c r="S19" t="s">
        <v>74</v>
      </c>
      <c r="T19" t="s">
        <v>1011</v>
      </c>
      <c r="U19" t="s">
        <v>1012</v>
      </c>
      <c r="V19" t="s">
        <v>1013</v>
      </c>
      <c r="W19" s="1" t="s">
        <v>1014</v>
      </c>
      <c r="X19" t="s">
        <v>1015</v>
      </c>
      <c r="Y19" t="s">
        <v>1016</v>
      </c>
      <c r="Z19" t="s">
        <v>1017</v>
      </c>
      <c r="AA19" t="s">
        <v>1018</v>
      </c>
      <c r="AB19" t="s">
        <v>1019</v>
      </c>
      <c r="AC19" t="s">
        <v>1020</v>
      </c>
      <c r="AD19" t="s">
        <v>1021</v>
      </c>
      <c r="AE19" t="s">
        <v>1022</v>
      </c>
      <c r="AF19" t="s">
        <v>1023</v>
      </c>
      <c r="AG19">
        <v>46</v>
      </c>
      <c r="AH19">
        <v>1</v>
      </c>
      <c r="AI19">
        <v>1</v>
      </c>
      <c r="AJ19">
        <v>17</v>
      </c>
      <c r="AK19">
        <v>17</v>
      </c>
      <c r="AL19" t="s">
        <v>1024</v>
      </c>
      <c r="AM19" t="s">
        <v>620</v>
      </c>
      <c r="AN19" t="s">
        <v>1025</v>
      </c>
      <c r="AO19" t="s">
        <v>1026</v>
      </c>
      <c r="AP19" t="s">
        <v>1027</v>
      </c>
      <c r="AQ19" t="s">
        <v>74</v>
      </c>
      <c r="AR19" t="s">
        <v>1010</v>
      </c>
      <c r="AS19" t="s">
        <v>1028</v>
      </c>
      <c r="AT19" t="s">
        <v>1029</v>
      </c>
      <c r="AU19">
        <v>2023</v>
      </c>
      <c r="AV19">
        <v>315</v>
      </c>
      <c r="AW19" t="s">
        <v>74</v>
      </c>
      <c r="AX19" t="s">
        <v>74</v>
      </c>
      <c r="AY19" t="s">
        <v>74</v>
      </c>
      <c r="AZ19" t="s">
        <v>74</v>
      </c>
      <c r="BA19" t="s">
        <v>74</v>
      </c>
      <c r="BB19" t="s">
        <v>74</v>
      </c>
      <c r="BC19" t="s">
        <v>74</v>
      </c>
      <c r="BD19">
        <v>137606</v>
      </c>
      <c r="BE19" t="s">
        <v>1030</v>
      </c>
      <c r="BF19" t="str">
        <f>HYPERLINK("http://dx.doi.org/10.1016/j.chemosphere.2022.137606","http://dx.doi.org/10.1016/j.chemosphere.2022.137606")</f>
        <v>http://dx.doi.org/10.1016/j.chemosphere.2022.137606</v>
      </c>
      <c r="BG19" t="s">
        <v>74</v>
      </c>
      <c r="BH19" t="s">
        <v>1031</v>
      </c>
      <c r="BI19">
        <v>9</v>
      </c>
      <c r="BJ19" t="s">
        <v>1032</v>
      </c>
      <c r="BK19" t="s">
        <v>102</v>
      </c>
      <c r="BL19" t="s">
        <v>1033</v>
      </c>
      <c r="BM19" t="s">
        <v>1034</v>
      </c>
      <c r="BN19">
        <v>36574787</v>
      </c>
      <c r="BO19" t="s">
        <v>74</v>
      </c>
      <c r="BP19" t="s">
        <v>74</v>
      </c>
      <c r="BQ19" t="s">
        <v>74</v>
      </c>
      <c r="BR19" t="s">
        <v>105</v>
      </c>
      <c r="BS19" t="s">
        <v>1035</v>
      </c>
      <c r="BT19" t="str">
        <f>HYPERLINK("https%3A%2F%2Fwww.webofscience.com%2Fwos%2Fwoscc%2Ffull-record%2FWOS:000923254900001","View Full Record in Web of Science")</f>
        <v>View Full Record in Web of Science</v>
      </c>
    </row>
    <row r="20" spans="1:72" x14ac:dyDescent="0.2">
      <c r="A20" t="s">
        <v>72</v>
      </c>
      <c r="B20" t="s">
        <v>5496</v>
      </c>
      <c r="C20" t="s">
        <v>74</v>
      </c>
      <c r="D20" t="s">
        <v>74</v>
      </c>
      <c r="E20" t="s">
        <v>74</v>
      </c>
      <c r="F20" t="s">
        <v>5497</v>
      </c>
      <c r="G20" t="s">
        <v>74</v>
      </c>
      <c r="H20" t="s">
        <v>74</v>
      </c>
      <c r="I20" t="s">
        <v>5498</v>
      </c>
      <c r="J20" t="s">
        <v>2169</v>
      </c>
      <c r="K20" t="s">
        <v>74</v>
      </c>
      <c r="L20" t="s">
        <v>74</v>
      </c>
      <c r="M20" t="s">
        <v>1517</v>
      </c>
      <c r="N20" t="s">
        <v>79</v>
      </c>
      <c r="O20" t="s">
        <v>74</v>
      </c>
      <c r="P20" t="s">
        <v>74</v>
      </c>
      <c r="Q20" t="s">
        <v>74</v>
      </c>
      <c r="R20" t="s">
        <v>74</v>
      </c>
      <c r="S20" t="s">
        <v>74</v>
      </c>
      <c r="T20" t="s">
        <v>5499</v>
      </c>
      <c r="U20" t="s">
        <v>74</v>
      </c>
      <c r="V20" t="s">
        <v>5500</v>
      </c>
      <c r="W20" s="1" t="s">
        <v>5501</v>
      </c>
      <c r="X20" t="s">
        <v>74</v>
      </c>
      <c r="Y20" t="s">
        <v>5502</v>
      </c>
      <c r="Z20" t="s">
        <v>5503</v>
      </c>
      <c r="AA20" t="s">
        <v>74</v>
      </c>
      <c r="AB20" t="s">
        <v>74</v>
      </c>
      <c r="AC20" t="s">
        <v>74</v>
      </c>
      <c r="AD20" t="s">
        <v>74</v>
      </c>
      <c r="AE20" t="s">
        <v>74</v>
      </c>
      <c r="AF20" t="s">
        <v>5504</v>
      </c>
      <c r="AG20">
        <v>49</v>
      </c>
      <c r="AH20">
        <v>0</v>
      </c>
      <c r="AI20">
        <v>0</v>
      </c>
      <c r="AJ20">
        <v>3</v>
      </c>
      <c r="AK20">
        <v>3</v>
      </c>
      <c r="AL20" t="s">
        <v>1930</v>
      </c>
      <c r="AM20" t="s">
        <v>1931</v>
      </c>
      <c r="AN20" t="s">
        <v>1932</v>
      </c>
      <c r="AO20" t="s">
        <v>2176</v>
      </c>
      <c r="AP20" t="s">
        <v>2177</v>
      </c>
      <c r="AQ20" t="s">
        <v>74</v>
      </c>
      <c r="AR20" t="s">
        <v>2178</v>
      </c>
      <c r="AS20" t="s">
        <v>2179</v>
      </c>
      <c r="AT20" t="s">
        <v>74</v>
      </c>
      <c r="AU20">
        <v>2022</v>
      </c>
      <c r="AV20">
        <v>27</v>
      </c>
      <c r="AW20">
        <v>2</v>
      </c>
      <c r="AX20" t="s">
        <v>74</v>
      </c>
      <c r="AY20" t="s">
        <v>74</v>
      </c>
      <c r="AZ20" t="s">
        <v>74</v>
      </c>
      <c r="BA20" t="s">
        <v>74</v>
      </c>
      <c r="BB20" t="s">
        <v>74</v>
      </c>
      <c r="BC20" t="s">
        <v>74</v>
      </c>
      <c r="BD20" t="s">
        <v>74</v>
      </c>
      <c r="BE20" t="s">
        <v>5505</v>
      </c>
      <c r="BF20" t="str">
        <f>HYPERLINK("http://dx.doi.org/10.19053/01233769.13568","http://dx.doi.org/10.19053/01233769.13568")</f>
        <v>http://dx.doi.org/10.19053/01233769.13568</v>
      </c>
      <c r="BG20" t="s">
        <v>74</v>
      </c>
      <c r="BH20" t="s">
        <v>74</v>
      </c>
      <c r="BI20">
        <v>46</v>
      </c>
      <c r="BJ20" t="s">
        <v>1488</v>
      </c>
      <c r="BK20" t="s">
        <v>187</v>
      </c>
      <c r="BL20" t="s">
        <v>1488</v>
      </c>
      <c r="BM20" t="s">
        <v>5506</v>
      </c>
      <c r="BN20" t="s">
        <v>74</v>
      </c>
      <c r="BO20" t="s">
        <v>190</v>
      </c>
      <c r="BP20" t="s">
        <v>74</v>
      </c>
      <c r="BQ20" t="s">
        <v>74</v>
      </c>
      <c r="BR20" t="s">
        <v>105</v>
      </c>
      <c r="BS20" t="s">
        <v>5507</v>
      </c>
      <c r="BT20" t="str">
        <f>HYPERLINK("https%3A%2F%2Fwww.webofscience.com%2Fwos%2Fwoscc%2Ffull-record%2FWOS:000877868500003","View Full Record in Web of Science")</f>
        <v>View Full Record in Web of Science</v>
      </c>
    </row>
    <row r="21" spans="1:72" x14ac:dyDescent="0.2">
      <c r="A21" t="s">
        <v>72</v>
      </c>
      <c r="B21" t="s">
        <v>1491</v>
      </c>
      <c r="C21" t="s">
        <v>74</v>
      </c>
      <c r="D21" t="s">
        <v>74</v>
      </c>
      <c r="E21" t="s">
        <v>74</v>
      </c>
      <c r="F21" t="s">
        <v>1492</v>
      </c>
      <c r="G21" t="s">
        <v>74</v>
      </c>
      <c r="H21" t="s">
        <v>74</v>
      </c>
      <c r="I21" t="s">
        <v>1493</v>
      </c>
      <c r="J21" t="s">
        <v>1494</v>
      </c>
      <c r="K21" t="s">
        <v>74</v>
      </c>
      <c r="L21" t="s">
        <v>74</v>
      </c>
      <c r="M21" t="s">
        <v>78</v>
      </c>
      <c r="N21" t="s">
        <v>79</v>
      </c>
      <c r="O21" t="s">
        <v>74</v>
      </c>
      <c r="P21" t="s">
        <v>74</v>
      </c>
      <c r="Q21" t="s">
        <v>74</v>
      </c>
      <c r="R21" t="s">
        <v>74</v>
      </c>
      <c r="S21" t="s">
        <v>74</v>
      </c>
      <c r="T21" t="s">
        <v>1495</v>
      </c>
      <c r="U21" t="s">
        <v>1496</v>
      </c>
      <c r="V21" t="s">
        <v>1497</v>
      </c>
      <c r="W21" s="1" t="s">
        <v>1498</v>
      </c>
      <c r="X21" t="s">
        <v>84</v>
      </c>
      <c r="Y21" t="s">
        <v>1499</v>
      </c>
      <c r="Z21" t="s">
        <v>1500</v>
      </c>
      <c r="AA21" t="s">
        <v>74</v>
      </c>
      <c r="AB21" t="s">
        <v>1501</v>
      </c>
      <c r="AC21" t="s">
        <v>74</v>
      </c>
      <c r="AD21" t="s">
        <v>74</v>
      </c>
      <c r="AE21" t="s">
        <v>74</v>
      </c>
      <c r="AF21" t="s">
        <v>1502</v>
      </c>
      <c r="AG21">
        <v>57</v>
      </c>
      <c r="AH21">
        <v>0</v>
      </c>
      <c r="AI21">
        <v>0</v>
      </c>
      <c r="AJ21">
        <v>3</v>
      </c>
      <c r="AK21">
        <v>3</v>
      </c>
      <c r="AL21" t="s">
        <v>1503</v>
      </c>
      <c r="AM21" t="s">
        <v>1504</v>
      </c>
      <c r="AN21" t="s">
        <v>1505</v>
      </c>
      <c r="AO21" t="s">
        <v>1506</v>
      </c>
      <c r="AP21" t="s">
        <v>1507</v>
      </c>
      <c r="AQ21" t="s">
        <v>74</v>
      </c>
      <c r="AR21" t="s">
        <v>1508</v>
      </c>
      <c r="AS21" t="s">
        <v>1509</v>
      </c>
      <c r="AT21" t="s">
        <v>74</v>
      </c>
      <c r="AU21">
        <v>2022</v>
      </c>
      <c r="AV21">
        <v>62</v>
      </c>
      <c r="AW21">
        <v>1</v>
      </c>
      <c r="AX21" t="s">
        <v>74</v>
      </c>
      <c r="AY21" t="s">
        <v>74</v>
      </c>
      <c r="AZ21" t="s">
        <v>74</v>
      </c>
      <c r="BA21" t="s">
        <v>74</v>
      </c>
      <c r="BB21">
        <v>50</v>
      </c>
      <c r="BC21">
        <v>70</v>
      </c>
      <c r="BD21" t="s">
        <v>74</v>
      </c>
      <c r="BE21" t="s">
        <v>1510</v>
      </c>
      <c r="BF21" t="str">
        <f>HYPERLINK("http://dx.doi.org/10.30827/cuadgeo.v62i1.18025","http://dx.doi.org/10.30827/cuadgeo.v62i1.18025")</f>
        <v>http://dx.doi.org/10.30827/cuadgeo.v62i1.18025</v>
      </c>
      <c r="BG21" t="s">
        <v>74</v>
      </c>
      <c r="BH21" t="s">
        <v>74</v>
      </c>
      <c r="BI21">
        <v>21</v>
      </c>
      <c r="BJ21" t="s">
        <v>1488</v>
      </c>
      <c r="BK21" t="s">
        <v>187</v>
      </c>
      <c r="BL21" t="s">
        <v>1488</v>
      </c>
      <c r="BM21" t="s">
        <v>1511</v>
      </c>
      <c r="BN21" t="s">
        <v>74</v>
      </c>
      <c r="BO21" t="s">
        <v>1111</v>
      </c>
      <c r="BP21" t="s">
        <v>74</v>
      </c>
      <c r="BQ21" t="s">
        <v>74</v>
      </c>
      <c r="BR21" t="s">
        <v>105</v>
      </c>
      <c r="BS21" t="s">
        <v>1512</v>
      </c>
      <c r="BT21" t="str">
        <f>HYPERLINK("https%3A%2F%2Fwww.webofscience.com%2Fwos%2Fwoscc%2Ffull-record%2FWOS:000890288900001","View Full Record in Web of Science")</f>
        <v>View Full Record in Web of Science</v>
      </c>
    </row>
    <row r="22" spans="1:72" x14ac:dyDescent="0.2">
      <c r="A22" t="s">
        <v>72</v>
      </c>
      <c r="B22" t="s">
        <v>656</v>
      </c>
      <c r="C22" t="s">
        <v>74</v>
      </c>
      <c r="D22" t="s">
        <v>74</v>
      </c>
      <c r="E22" t="s">
        <v>74</v>
      </c>
      <c r="F22" t="s">
        <v>657</v>
      </c>
      <c r="G22" t="s">
        <v>74</v>
      </c>
      <c r="H22" t="s">
        <v>74</v>
      </c>
      <c r="I22" t="s">
        <v>658</v>
      </c>
      <c r="J22" t="s">
        <v>279</v>
      </c>
      <c r="K22" t="s">
        <v>74</v>
      </c>
      <c r="L22" t="s">
        <v>74</v>
      </c>
      <c r="M22" t="s">
        <v>78</v>
      </c>
      <c r="N22" t="s">
        <v>167</v>
      </c>
      <c r="O22" t="s">
        <v>74</v>
      </c>
      <c r="P22" t="s">
        <v>74</v>
      </c>
      <c r="Q22" t="s">
        <v>74</v>
      </c>
      <c r="R22" t="s">
        <v>74</v>
      </c>
      <c r="S22" t="s">
        <v>74</v>
      </c>
      <c r="T22" t="s">
        <v>659</v>
      </c>
      <c r="U22" t="s">
        <v>660</v>
      </c>
      <c r="V22" t="s">
        <v>661</v>
      </c>
      <c r="W22" s="1" t="s">
        <v>662</v>
      </c>
      <c r="X22" t="s">
        <v>663</v>
      </c>
      <c r="Y22" t="s">
        <v>664</v>
      </c>
      <c r="Z22" t="s">
        <v>665</v>
      </c>
      <c r="AA22" t="s">
        <v>666</v>
      </c>
      <c r="AB22" t="s">
        <v>667</v>
      </c>
      <c r="AC22" t="s">
        <v>668</v>
      </c>
      <c r="AD22" t="s">
        <v>669</v>
      </c>
      <c r="AE22" t="s">
        <v>670</v>
      </c>
      <c r="AF22" t="s">
        <v>671</v>
      </c>
      <c r="AG22">
        <v>199</v>
      </c>
      <c r="AH22">
        <v>1</v>
      </c>
      <c r="AI22">
        <v>1</v>
      </c>
      <c r="AJ22">
        <v>7</v>
      </c>
      <c r="AK22">
        <v>16</v>
      </c>
      <c r="AL22" t="s">
        <v>93</v>
      </c>
      <c r="AM22" t="s">
        <v>94</v>
      </c>
      <c r="AN22" t="s">
        <v>95</v>
      </c>
      <c r="AO22" t="s">
        <v>74</v>
      </c>
      <c r="AP22" t="s">
        <v>292</v>
      </c>
      <c r="AQ22" t="s">
        <v>74</v>
      </c>
      <c r="AR22" t="s">
        <v>293</v>
      </c>
      <c r="AS22" t="s">
        <v>294</v>
      </c>
      <c r="AT22" t="s">
        <v>242</v>
      </c>
      <c r="AU22">
        <v>2022</v>
      </c>
      <c r="AV22">
        <v>14</v>
      </c>
      <c r="AW22">
        <v>14</v>
      </c>
      <c r="AX22" t="s">
        <v>74</v>
      </c>
      <c r="AY22" t="s">
        <v>74</v>
      </c>
      <c r="AZ22" t="s">
        <v>74</v>
      </c>
      <c r="BA22" t="s">
        <v>74</v>
      </c>
      <c r="BB22" t="s">
        <v>74</v>
      </c>
      <c r="BC22" t="s">
        <v>74</v>
      </c>
      <c r="BD22">
        <v>8588</v>
      </c>
      <c r="BE22" t="s">
        <v>672</v>
      </c>
      <c r="BF22" t="str">
        <f>HYPERLINK("http://dx.doi.org/10.3390/su14148588","http://dx.doi.org/10.3390/su14148588")</f>
        <v>http://dx.doi.org/10.3390/su14148588</v>
      </c>
      <c r="BG22" t="s">
        <v>74</v>
      </c>
      <c r="BH22" t="s">
        <v>74</v>
      </c>
      <c r="BI22">
        <v>26</v>
      </c>
      <c r="BJ22" t="s">
        <v>297</v>
      </c>
      <c r="BK22" t="s">
        <v>298</v>
      </c>
      <c r="BL22" t="s">
        <v>299</v>
      </c>
      <c r="BM22" t="s">
        <v>673</v>
      </c>
      <c r="BN22" t="s">
        <v>74</v>
      </c>
      <c r="BO22" t="s">
        <v>190</v>
      </c>
      <c r="BP22" t="s">
        <v>74</v>
      </c>
      <c r="BQ22" t="s">
        <v>74</v>
      </c>
      <c r="BR22" t="s">
        <v>105</v>
      </c>
      <c r="BS22" t="s">
        <v>674</v>
      </c>
      <c r="BT22" t="str">
        <f>HYPERLINK("https%3A%2F%2Fwww.webofscience.com%2Fwos%2Fwoscc%2Ffull-record%2FWOS:000833234900001","View Full Record in Web of Science")</f>
        <v>View Full Record in Web of Science</v>
      </c>
    </row>
    <row r="23" spans="1:72" x14ac:dyDescent="0.2">
      <c r="A23" t="s">
        <v>72</v>
      </c>
      <c r="B23" t="s">
        <v>1715</v>
      </c>
      <c r="C23" t="s">
        <v>74</v>
      </c>
      <c r="D23" t="s">
        <v>74</v>
      </c>
      <c r="E23" t="s">
        <v>74</v>
      </c>
      <c r="F23" t="s">
        <v>1716</v>
      </c>
      <c r="G23" t="s">
        <v>74</v>
      </c>
      <c r="H23" t="s">
        <v>74</v>
      </c>
      <c r="I23" t="s">
        <v>1717</v>
      </c>
      <c r="J23" t="s">
        <v>1718</v>
      </c>
      <c r="K23" t="s">
        <v>74</v>
      </c>
      <c r="L23" t="s">
        <v>74</v>
      </c>
      <c r="M23" t="s">
        <v>78</v>
      </c>
      <c r="N23" t="s">
        <v>79</v>
      </c>
      <c r="O23" t="s">
        <v>74</v>
      </c>
      <c r="P23" t="s">
        <v>74</v>
      </c>
      <c r="Q23" t="s">
        <v>74</v>
      </c>
      <c r="R23" t="s">
        <v>74</v>
      </c>
      <c r="S23" t="s">
        <v>74</v>
      </c>
      <c r="T23" t="s">
        <v>1719</v>
      </c>
      <c r="U23" t="s">
        <v>1720</v>
      </c>
      <c r="V23" t="s">
        <v>1721</v>
      </c>
      <c r="W23" s="1" t="s">
        <v>1722</v>
      </c>
      <c r="X23" t="s">
        <v>142</v>
      </c>
      <c r="Y23" t="s">
        <v>1723</v>
      </c>
      <c r="Z23" t="s">
        <v>1724</v>
      </c>
      <c r="AA23" t="s">
        <v>74</v>
      </c>
      <c r="AB23" t="s">
        <v>1725</v>
      </c>
      <c r="AC23" t="s">
        <v>74</v>
      </c>
      <c r="AD23" t="s">
        <v>74</v>
      </c>
      <c r="AE23" t="s">
        <v>74</v>
      </c>
      <c r="AF23" t="s">
        <v>1726</v>
      </c>
      <c r="AG23">
        <v>35</v>
      </c>
      <c r="AH23">
        <v>2</v>
      </c>
      <c r="AI23">
        <v>2</v>
      </c>
      <c r="AJ23">
        <v>3</v>
      </c>
      <c r="AK23">
        <v>4</v>
      </c>
      <c r="AL23" t="s">
        <v>1727</v>
      </c>
      <c r="AM23" t="s">
        <v>1728</v>
      </c>
      <c r="AN23" t="s">
        <v>1729</v>
      </c>
      <c r="AO23" t="s">
        <v>1730</v>
      </c>
      <c r="AP23" t="s">
        <v>1731</v>
      </c>
      <c r="AQ23" t="s">
        <v>74</v>
      </c>
      <c r="AR23" t="s">
        <v>1732</v>
      </c>
      <c r="AS23" t="s">
        <v>1733</v>
      </c>
      <c r="AT23" t="s">
        <v>1527</v>
      </c>
      <c r="AU23">
        <v>2022</v>
      </c>
      <c r="AV23">
        <v>39</v>
      </c>
      <c r="AW23">
        <v>1</v>
      </c>
      <c r="AX23" t="s">
        <v>74</v>
      </c>
      <c r="AY23" t="s">
        <v>74</v>
      </c>
      <c r="AZ23" t="s">
        <v>74</v>
      </c>
      <c r="BA23" t="s">
        <v>74</v>
      </c>
      <c r="BB23">
        <v>30</v>
      </c>
      <c r="BC23">
        <v>41</v>
      </c>
      <c r="BD23" t="s">
        <v>74</v>
      </c>
      <c r="BE23" t="s">
        <v>1734</v>
      </c>
      <c r="BF23" t="str">
        <f>HYPERLINK("http://dx.doi.org/10.22267/rcia.223901.169","http://dx.doi.org/10.22267/rcia.223901.169")</f>
        <v>http://dx.doi.org/10.22267/rcia.223901.169</v>
      </c>
      <c r="BG23" t="s">
        <v>74</v>
      </c>
      <c r="BH23" t="s">
        <v>74</v>
      </c>
      <c r="BI23">
        <v>12</v>
      </c>
      <c r="BJ23" t="s">
        <v>390</v>
      </c>
      <c r="BK23" t="s">
        <v>187</v>
      </c>
      <c r="BL23" t="s">
        <v>160</v>
      </c>
      <c r="BM23" t="s">
        <v>1735</v>
      </c>
      <c r="BN23" t="s">
        <v>74</v>
      </c>
      <c r="BO23" t="s">
        <v>419</v>
      </c>
      <c r="BP23" t="s">
        <v>74</v>
      </c>
      <c r="BQ23" t="s">
        <v>74</v>
      </c>
      <c r="BR23" t="s">
        <v>105</v>
      </c>
      <c r="BS23" t="s">
        <v>1736</v>
      </c>
      <c r="BT23" t="str">
        <f>HYPERLINK("https%3A%2F%2Fwww.webofscience.com%2Fwos%2Fwoscc%2Ffull-record%2FWOS:000861324500003","View Full Record in Web of Science")</f>
        <v>View Full Record in Web of Science</v>
      </c>
    </row>
    <row r="24" spans="1:72" x14ac:dyDescent="0.2">
      <c r="A24" t="s">
        <v>72</v>
      </c>
      <c r="B24" t="s">
        <v>4891</v>
      </c>
      <c r="C24" t="s">
        <v>74</v>
      </c>
      <c r="D24" t="s">
        <v>74</v>
      </c>
      <c r="E24" t="s">
        <v>74</v>
      </c>
      <c r="F24" t="s">
        <v>4892</v>
      </c>
      <c r="G24" t="s">
        <v>74</v>
      </c>
      <c r="H24" t="s">
        <v>74</v>
      </c>
      <c r="I24" t="s">
        <v>4893</v>
      </c>
      <c r="J24" t="s">
        <v>1299</v>
      </c>
      <c r="K24" t="s">
        <v>74</v>
      </c>
      <c r="L24" t="s">
        <v>74</v>
      </c>
      <c r="M24" t="s">
        <v>78</v>
      </c>
      <c r="N24" t="s">
        <v>79</v>
      </c>
      <c r="O24" t="s">
        <v>74</v>
      </c>
      <c r="P24" t="s">
        <v>74</v>
      </c>
      <c r="Q24" t="s">
        <v>74</v>
      </c>
      <c r="R24" t="s">
        <v>74</v>
      </c>
      <c r="S24" t="s">
        <v>74</v>
      </c>
      <c r="T24" t="s">
        <v>4894</v>
      </c>
      <c r="U24" t="s">
        <v>4895</v>
      </c>
      <c r="V24" t="s">
        <v>4896</v>
      </c>
      <c r="W24" s="1" t="s">
        <v>4897</v>
      </c>
      <c r="X24" t="s">
        <v>4898</v>
      </c>
      <c r="Y24" t="s">
        <v>4899</v>
      </c>
      <c r="Z24" t="s">
        <v>4900</v>
      </c>
      <c r="AA24" t="s">
        <v>87</v>
      </c>
      <c r="AB24" t="s">
        <v>4901</v>
      </c>
      <c r="AC24" t="s">
        <v>4902</v>
      </c>
      <c r="AD24" t="s">
        <v>4902</v>
      </c>
      <c r="AE24" t="s">
        <v>4903</v>
      </c>
      <c r="AF24" t="s">
        <v>4904</v>
      </c>
      <c r="AG24">
        <v>34</v>
      </c>
      <c r="AH24">
        <v>0</v>
      </c>
      <c r="AI24">
        <v>0</v>
      </c>
      <c r="AJ24">
        <v>0</v>
      </c>
      <c r="AK24">
        <v>0</v>
      </c>
      <c r="AL24" t="s">
        <v>93</v>
      </c>
      <c r="AM24" t="s">
        <v>94</v>
      </c>
      <c r="AN24" t="s">
        <v>95</v>
      </c>
      <c r="AO24" t="s">
        <v>74</v>
      </c>
      <c r="AP24" t="s">
        <v>1311</v>
      </c>
      <c r="AQ24" t="s">
        <v>74</v>
      </c>
      <c r="AR24" t="s">
        <v>1299</v>
      </c>
      <c r="AS24" t="s">
        <v>1312</v>
      </c>
      <c r="AT24" t="s">
        <v>2641</v>
      </c>
      <c r="AU24">
        <v>2022</v>
      </c>
      <c r="AV24">
        <v>12</v>
      </c>
      <c r="AW24">
        <v>5</v>
      </c>
      <c r="AX24" t="s">
        <v>74</v>
      </c>
      <c r="AY24" t="s">
        <v>74</v>
      </c>
      <c r="AZ24" t="s">
        <v>74</v>
      </c>
      <c r="BA24" t="s">
        <v>74</v>
      </c>
      <c r="BB24" t="s">
        <v>74</v>
      </c>
      <c r="BC24" t="s">
        <v>74</v>
      </c>
      <c r="BD24">
        <v>714</v>
      </c>
      <c r="BE24" t="s">
        <v>4905</v>
      </c>
      <c r="BF24" t="str">
        <f>HYPERLINK("http://dx.doi.org/10.3390/cryst12050714","http://dx.doi.org/10.3390/cryst12050714")</f>
        <v>http://dx.doi.org/10.3390/cryst12050714</v>
      </c>
      <c r="BG24" t="s">
        <v>74</v>
      </c>
      <c r="BH24" t="s">
        <v>74</v>
      </c>
      <c r="BI24">
        <v>22</v>
      </c>
      <c r="BJ24" t="s">
        <v>1314</v>
      </c>
      <c r="BK24" t="s">
        <v>102</v>
      </c>
      <c r="BL24" t="s">
        <v>1315</v>
      </c>
      <c r="BM24" t="s">
        <v>4906</v>
      </c>
      <c r="BN24" t="s">
        <v>74</v>
      </c>
      <c r="BO24" t="s">
        <v>190</v>
      </c>
      <c r="BP24" t="s">
        <v>74</v>
      </c>
      <c r="BQ24" t="s">
        <v>74</v>
      </c>
      <c r="BR24" t="s">
        <v>105</v>
      </c>
      <c r="BS24" t="s">
        <v>4907</v>
      </c>
      <c r="BT24" t="str">
        <f>HYPERLINK("https%3A%2F%2Fwww.webofscience.com%2Fwos%2Fwoscc%2Ffull-record%2FWOS:000802590400001","View Full Record in Web of Science")</f>
        <v>View Full Record in Web of Science</v>
      </c>
    </row>
    <row r="25" spans="1:72" x14ac:dyDescent="0.2">
      <c r="A25" t="s">
        <v>72</v>
      </c>
      <c r="B25" t="s">
        <v>1218</v>
      </c>
      <c r="C25" t="s">
        <v>74</v>
      </c>
      <c r="D25" t="s">
        <v>74</v>
      </c>
      <c r="E25" t="s">
        <v>74</v>
      </c>
      <c r="F25" t="s">
        <v>1219</v>
      </c>
      <c r="G25" t="s">
        <v>74</v>
      </c>
      <c r="H25" t="s">
        <v>74</v>
      </c>
      <c r="I25" t="s">
        <v>1220</v>
      </c>
      <c r="J25" t="s">
        <v>1221</v>
      </c>
      <c r="K25" t="s">
        <v>74</v>
      </c>
      <c r="L25" t="s">
        <v>74</v>
      </c>
      <c r="M25" t="s">
        <v>78</v>
      </c>
      <c r="N25" t="s">
        <v>79</v>
      </c>
      <c r="O25" t="s">
        <v>74</v>
      </c>
      <c r="P25" t="s">
        <v>74</v>
      </c>
      <c r="Q25" t="s">
        <v>74</v>
      </c>
      <c r="R25" t="s">
        <v>74</v>
      </c>
      <c r="S25" t="s">
        <v>74</v>
      </c>
      <c r="T25" t="s">
        <v>74</v>
      </c>
      <c r="U25" t="s">
        <v>1222</v>
      </c>
      <c r="V25" t="s">
        <v>1223</v>
      </c>
      <c r="W25" s="1" t="s">
        <v>1224</v>
      </c>
      <c r="X25" t="s">
        <v>1225</v>
      </c>
      <c r="Y25" t="s">
        <v>1226</v>
      </c>
      <c r="Z25" t="s">
        <v>540</v>
      </c>
      <c r="AA25" t="s">
        <v>1227</v>
      </c>
      <c r="AB25" t="s">
        <v>1228</v>
      </c>
      <c r="AC25" t="s">
        <v>1229</v>
      </c>
      <c r="AD25" t="s">
        <v>1230</v>
      </c>
      <c r="AE25" t="s">
        <v>1231</v>
      </c>
      <c r="AF25" t="s">
        <v>1232</v>
      </c>
      <c r="AG25">
        <v>58</v>
      </c>
      <c r="AH25">
        <v>0</v>
      </c>
      <c r="AI25">
        <v>0</v>
      </c>
      <c r="AJ25">
        <v>3</v>
      </c>
      <c r="AK25">
        <v>5</v>
      </c>
      <c r="AL25" t="s">
        <v>1233</v>
      </c>
      <c r="AM25" t="s">
        <v>1234</v>
      </c>
      <c r="AN25" t="s">
        <v>1235</v>
      </c>
      <c r="AO25" t="s">
        <v>1236</v>
      </c>
      <c r="AP25" t="s">
        <v>74</v>
      </c>
      <c r="AQ25" t="s">
        <v>74</v>
      </c>
      <c r="AR25" t="s">
        <v>1237</v>
      </c>
      <c r="AS25" t="s">
        <v>1238</v>
      </c>
      <c r="AT25" t="s">
        <v>1239</v>
      </c>
      <c r="AU25">
        <v>2022</v>
      </c>
      <c r="AV25">
        <v>12</v>
      </c>
      <c r="AW25">
        <v>1</v>
      </c>
      <c r="AX25" t="s">
        <v>74</v>
      </c>
      <c r="AY25" t="s">
        <v>74</v>
      </c>
      <c r="AZ25" t="s">
        <v>74</v>
      </c>
      <c r="BA25" t="s">
        <v>74</v>
      </c>
      <c r="BB25" t="s">
        <v>74</v>
      </c>
      <c r="BC25" t="s">
        <v>74</v>
      </c>
      <c r="BD25">
        <v>16402</v>
      </c>
      <c r="BE25" t="s">
        <v>1240</v>
      </c>
      <c r="BF25" t="str">
        <f>HYPERLINK("http://dx.doi.org/10.1038/s41598-022-20439-6","http://dx.doi.org/10.1038/s41598-022-20439-6")</f>
        <v>http://dx.doi.org/10.1038/s41598-022-20439-6</v>
      </c>
      <c r="BG25" t="s">
        <v>74</v>
      </c>
      <c r="BH25" t="s">
        <v>74</v>
      </c>
      <c r="BI25">
        <v>12</v>
      </c>
      <c r="BJ25" t="s">
        <v>627</v>
      </c>
      <c r="BK25" t="s">
        <v>102</v>
      </c>
      <c r="BL25" t="s">
        <v>628</v>
      </c>
      <c r="BM25" t="s">
        <v>1241</v>
      </c>
      <c r="BN25">
        <v>36180534</v>
      </c>
      <c r="BO25" t="s">
        <v>131</v>
      </c>
      <c r="BP25" t="s">
        <v>74</v>
      </c>
      <c r="BQ25" t="s">
        <v>74</v>
      </c>
      <c r="BR25" t="s">
        <v>105</v>
      </c>
      <c r="BS25" t="s">
        <v>1242</v>
      </c>
      <c r="BT25" t="str">
        <f>HYPERLINK("https%3A%2F%2Fwww.webofscience.com%2Fwos%2Fwoscc%2Ffull-record%2FWOS:000862424900045","View Full Record in Web of Science")</f>
        <v>View Full Record in Web of Science</v>
      </c>
    </row>
    <row r="26" spans="1:72" x14ac:dyDescent="0.2">
      <c r="A26" t="s">
        <v>72</v>
      </c>
      <c r="B26" t="s">
        <v>1817</v>
      </c>
      <c r="C26" t="s">
        <v>74</v>
      </c>
      <c r="D26" t="s">
        <v>74</v>
      </c>
      <c r="E26" t="s">
        <v>74</v>
      </c>
      <c r="F26" t="s">
        <v>1818</v>
      </c>
      <c r="G26" t="s">
        <v>74</v>
      </c>
      <c r="H26" t="s">
        <v>74</v>
      </c>
      <c r="I26" t="s">
        <v>1819</v>
      </c>
      <c r="J26" t="s">
        <v>1820</v>
      </c>
      <c r="K26" t="s">
        <v>74</v>
      </c>
      <c r="L26" t="s">
        <v>74</v>
      </c>
      <c r="M26" t="s">
        <v>1517</v>
      </c>
      <c r="N26" t="s">
        <v>79</v>
      </c>
      <c r="O26" t="s">
        <v>74</v>
      </c>
      <c r="P26" t="s">
        <v>74</v>
      </c>
      <c r="Q26" t="s">
        <v>74</v>
      </c>
      <c r="R26" t="s">
        <v>74</v>
      </c>
      <c r="S26" t="s">
        <v>74</v>
      </c>
      <c r="T26" t="s">
        <v>1821</v>
      </c>
      <c r="U26" t="s">
        <v>74</v>
      </c>
      <c r="V26" t="s">
        <v>1822</v>
      </c>
      <c r="W26" s="1" t="s">
        <v>1823</v>
      </c>
      <c r="X26" t="s">
        <v>1824</v>
      </c>
      <c r="Y26" t="s">
        <v>1825</v>
      </c>
      <c r="Z26" t="s">
        <v>1826</v>
      </c>
      <c r="AA26" t="s">
        <v>74</v>
      </c>
      <c r="AB26" t="s">
        <v>74</v>
      </c>
      <c r="AC26" t="s">
        <v>74</v>
      </c>
      <c r="AD26" t="s">
        <v>74</v>
      </c>
      <c r="AE26" t="s">
        <v>74</v>
      </c>
      <c r="AF26" t="s">
        <v>1827</v>
      </c>
      <c r="AG26">
        <v>24</v>
      </c>
      <c r="AH26">
        <v>0</v>
      </c>
      <c r="AI26">
        <v>0</v>
      </c>
      <c r="AJ26">
        <v>3</v>
      </c>
      <c r="AK26">
        <v>3</v>
      </c>
      <c r="AL26" t="s">
        <v>1828</v>
      </c>
      <c r="AM26" t="s">
        <v>925</v>
      </c>
      <c r="AN26" t="s">
        <v>1829</v>
      </c>
      <c r="AO26" t="s">
        <v>1830</v>
      </c>
      <c r="AP26" t="s">
        <v>74</v>
      </c>
      <c r="AQ26" t="s">
        <v>74</v>
      </c>
      <c r="AR26" t="s">
        <v>1831</v>
      </c>
      <c r="AS26" t="s">
        <v>1832</v>
      </c>
      <c r="AT26" t="s">
        <v>1487</v>
      </c>
      <c r="AU26">
        <v>2022</v>
      </c>
      <c r="AV26">
        <v>24</v>
      </c>
      <c r="AW26">
        <v>2</v>
      </c>
      <c r="AX26" t="s">
        <v>74</v>
      </c>
      <c r="AY26" t="s">
        <v>74</v>
      </c>
      <c r="AZ26" t="s">
        <v>74</v>
      </c>
      <c r="BA26" t="s">
        <v>74</v>
      </c>
      <c r="BB26" t="s">
        <v>74</v>
      </c>
      <c r="BC26" t="s">
        <v>74</v>
      </c>
      <c r="BD26" t="s">
        <v>1833</v>
      </c>
      <c r="BE26" t="s">
        <v>1834</v>
      </c>
      <c r="BF26" t="str">
        <f>HYPERLINK("http://dx.doi.org/10.25100/iyc.v24i2.11343","http://dx.doi.org/10.25100/iyc.v24i2.11343")</f>
        <v>http://dx.doi.org/10.25100/iyc.v24i2.11343</v>
      </c>
      <c r="BG26" t="s">
        <v>74</v>
      </c>
      <c r="BH26" t="s">
        <v>74</v>
      </c>
      <c r="BI26">
        <v>15</v>
      </c>
      <c r="BJ26" t="s">
        <v>323</v>
      </c>
      <c r="BK26" t="s">
        <v>187</v>
      </c>
      <c r="BL26" t="s">
        <v>324</v>
      </c>
      <c r="BM26" t="s">
        <v>1835</v>
      </c>
      <c r="BN26" t="s">
        <v>74</v>
      </c>
      <c r="BO26" t="s">
        <v>74</v>
      </c>
      <c r="BP26" t="s">
        <v>74</v>
      </c>
      <c r="BQ26" t="s">
        <v>74</v>
      </c>
      <c r="BR26" t="s">
        <v>105</v>
      </c>
      <c r="BS26" t="s">
        <v>1836</v>
      </c>
      <c r="BT26" t="str">
        <f>HYPERLINK("https%3A%2F%2Fwww.webofscience.com%2Fwos%2Fwoscc%2Ffull-record%2FWOS:000927631700005","View Full Record in Web of Science")</f>
        <v>View Full Record in Web of Science</v>
      </c>
    </row>
    <row r="27" spans="1:72" x14ac:dyDescent="0.2">
      <c r="A27" t="s">
        <v>72</v>
      </c>
      <c r="B27" t="s">
        <v>276</v>
      </c>
      <c r="C27" t="s">
        <v>74</v>
      </c>
      <c r="D27" t="s">
        <v>74</v>
      </c>
      <c r="E27" t="s">
        <v>74</v>
      </c>
      <c r="F27" t="s">
        <v>277</v>
      </c>
      <c r="G27" t="s">
        <v>74</v>
      </c>
      <c r="H27" t="s">
        <v>74</v>
      </c>
      <c r="I27" t="s">
        <v>278</v>
      </c>
      <c r="J27" t="s">
        <v>279</v>
      </c>
      <c r="K27" t="s">
        <v>74</v>
      </c>
      <c r="L27" t="s">
        <v>74</v>
      </c>
      <c r="M27" t="s">
        <v>78</v>
      </c>
      <c r="N27" t="s">
        <v>79</v>
      </c>
      <c r="O27" t="s">
        <v>74</v>
      </c>
      <c r="P27" t="s">
        <v>74</v>
      </c>
      <c r="Q27" t="s">
        <v>74</v>
      </c>
      <c r="R27" t="s">
        <v>74</v>
      </c>
      <c r="S27" t="s">
        <v>74</v>
      </c>
      <c r="T27" t="s">
        <v>280</v>
      </c>
      <c r="U27" t="s">
        <v>281</v>
      </c>
      <c r="V27" t="s">
        <v>282</v>
      </c>
      <c r="W27" s="1" t="s">
        <v>283</v>
      </c>
      <c r="X27" t="s">
        <v>284</v>
      </c>
      <c r="Y27" t="s">
        <v>285</v>
      </c>
      <c r="Z27" t="s">
        <v>286</v>
      </c>
      <c r="AA27" t="s">
        <v>74</v>
      </c>
      <c r="AB27" t="s">
        <v>287</v>
      </c>
      <c r="AC27" t="s">
        <v>288</v>
      </c>
      <c r="AD27" t="s">
        <v>289</v>
      </c>
      <c r="AE27" t="s">
        <v>290</v>
      </c>
      <c r="AF27" t="s">
        <v>291</v>
      </c>
      <c r="AG27">
        <v>29</v>
      </c>
      <c r="AH27">
        <v>0</v>
      </c>
      <c r="AI27">
        <v>0</v>
      </c>
      <c r="AJ27">
        <v>6</v>
      </c>
      <c r="AK27">
        <v>6</v>
      </c>
      <c r="AL27" t="s">
        <v>93</v>
      </c>
      <c r="AM27" t="s">
        <v>94</v>
      </c>
      <c r="AN27" t="s">
        <v>95</v>
      </c>
      <c r="AO27" t="s">
        <v>74</v>
      </c>
      <c r="AP27" t="s">
        <v>292</v>
      </c>
      <c r="AQ27" t="s">
        <v>74</v>
      </c>
      <c r="AR27" t="s">
        <v>293</v>
      </c>
      <c r="AS27" t="s">
        <v>294</v>
      </c>
      <c r="AT27" t="s">
        <v>295</v>
      </c>
      <c r="AU27">
        <v>2022</v>
      </c>
      <c r="AV27">
        <v>14</v>
      </c>
      <c r="AW27">
        <v>22</v>
      </c>
      <c r="AX27" t="s">
        <v>74</v>
      </c>
      <c r="AY27" t="s">
        <v>74</v>
      </c>
      <c r="AZ27" t="s">
        <v>74</v>
      </c>
      <c r="BA27" t="s">
        <v>74</v>
      </c>
      <c r="BB27" t="s">
        <v>74</v>
      </c>
      <c r="BC27" t="s">
        <v>74</v>
      </c>
      <c r="BD27">
        <v>14683</v>
      </c>
      <c r="BE27" t="s">
        <v>296</v>
      </c>
      <c r="BF27" t="str">
        <f>HYPERLINK("http://dx.doi.org/10.3390/su142214683","http://dx.doi.org/10.3390/su142214683")</f>
        <v>http://dx.doi.org/10.3390/su142214683</v>
      </c>
      <c r="BG27" t="s">
        <v>74</v>
      </c>
      <c r="BH27" t="s">
        <v>74</v>
      </c>
      <c r="BI27">
        <v>12</v>
      </c>
      <c r="BJ27" t="s">
        <v>297</v>
      </c>
      <c r="BK27" t="s">
        <v>298</v>
      </c>
      <c r="BL27" t="s">
        <v>299</v>
      </c>
      <c r="BM27" t="s">
        <v>300</v>
      </c>
      <c r="BN27" t="s">
        <v>74</v>
      </c>
      <c r="BO27" t="s">
        <v>190</v>
      </c>
      <c r="BP27" t="s">
        <v>74</v>
      </c>
      <c r="BQ27" t="s">
        <v>74</v>
      </c>
      <c r="BR27" t="s">
        <v>105</v>
      </c>
      <c r="BS27" t="s">
        <v>301</v>
      </c>
      <c r="BT27" t="str">
        <f>HYPERLINK("https%3A%2F%2Fwww.webofscience.com%2Fwos%2Fwoscc%2Ffull-record%2FWOS:000887580800001","View Full Record in Web of Science")</f>
        <v>View Full Record in Web of Science</v>
      </c>
    </row>
    <row r="28" spans="1:72" x14ac:dyDescent="0.2">
      <c r="A28" t="s">
        <v>72</v>
      </c>
      <c r="B28" t="s">
        <v>2895</v>
      </c>
      <c r="C28" t="s">
        <v>74</v>
      </c>
      <c r="D28" t="s">
        <v>74</v>
      </c>
      <c r="E28" t="s">
        <v>74</v>
      </c>
      <c r="F28" t="s">
        <v>2896</v>
      </c>
      <c r="G28" t="s">
        <v>74</v>
      </c>
      <c r="H28" t="s">
        <v>74</v>
      </c>
      <c r="I28" t="s">
        <v>2897</v>
      </c>
      <c r="J28" t="s">
        <v>2898</v>
      </c>
      <c r="K28" t="s">
        <v>74</v>
      </c>
      <c r="L28" t="s">
        <v>74</v>
      </c>
      <c r="M28" t="s">
        <v>78</v>
      </c>
      <c r="N28" t="s">
        <v>79</v>
      </c>
      <c r="O28" t="s">
        <v>74</v>
      </c>
      <c r="P28" t="s">
        <v>74</v>
      </c>
      <c r="Q28" t="s">
        <v>74</v>
      </c>
      <c r="R28" t="s">
        <v>74</v>
      </c>
      <c r="S28" t="s">
        <v>74</v>
      </c>
      <c r="T28" t="s">
        <v>74</v>
      </c>
      <c r="U28" t="s">
        <v>74</v>
      </c>
      <c r="V28" t="s">
        <v>2899</v>
      </c>
      <c r="W28" s="1" t="s">
        <v>2900</v>
      </c>
      <c r="X28" t="s">
        <v>84</v>
      </c>
      <c r="Y28" t="s">
        <v>2901</v>
      </c>
      <c r="Z28" t="s">
        <v>2312</v>
      </c>
      <c r="AA28" t="s">
        <v>74</v>
      </c>
      <c r="AB28" t="s">
        <v>74</v>
      </c>
      <c r="AC28" t="s">
        <v>74</v>
      </c>
      <c r="AD28" t="s">
        <v>74</v>
      </c>
      <c r="AE28" t="s">
        <v>74</v>
      </c>
      <c r="AF28" t="s">
        <v>2902</v>
      </c>
      <c r="AG28">
        <v>45</v>
      </c>
      <c r="AH28">
        <v>0</v>
      </c>
      <c r="AI28">
        <v>0</v>
      </c>
      <c r="AJ28">
        <v>0</v>
      </c>
      <c r="AK28">
        <v>0</v>
      </c>
      <c r="AL28" t="s">
        <v>2293</v>
      </c>
      <c r="AM28" t="s">
        <v>2294</v>
      </c>
      <c r="AN28" t="s">
        <v>2295</v>
      </c>
      <c r="AO28" t="s">
        <v>2903</v>
      </c>
      <c r="AP28" t="s">
        <v>2904</v>
      </c>
      <c r="AQ28" t="s">
        <v>74</v>
      </c>
      <c r="AR28" t="s">
        <v>2905</v>
      </c>
      <c r="AS28" t="s">
        <v>2906</v>
      </c>
      <c r="AT28" t="s">
        <v>74</v>
      </c>
      <c r="AU28">
        <v>2023</v>
      </c>
      <c r="AV28">
        <v>28</v>
      </c>
      <c r="AW28">
        <v>1</v>
      </c>
      <c r="AX28" t="s">
        <v>74</v>
      </c>
      <c r="AY28" t="s">
        <v>74</v>
      </c>
      <c r="AZ28" t="s">
        <v>74</v>
      </c>
      <c r="BA28" t="s">
        <v>74</v>
      </c>
      <c r="BB28">
        <v>45</v>
      </c>
      <c r="BC28">
        <v>75</v>
      </c>
      <c r="BD28" t="s">
        <v>74</v>
      </c>
      <c r="BE28" t="s">
        <v>2907</v>
      </c>
      <c r="BF28" t="str">
        <f>HYPERLINK("http://dx.doi.org/10.18273/revanu.v28n1-2023003","http://dx.doi.org/10.18273/revanu.v28n1-2023003")</f>
        <v>http://dx.doi.org/10.18273/revanu.v28n1-2023003</v>
      </c>
      <c r="BG28" t="s">
        <v>74</v>
      </c>
      <c r="BH28" t="s">
        <v>74</v>
      </c>
      <c r="BI28">
        <v>31</v>
      </c>
      <c r="BJ28" t="s">
        <v>2109</v>
      </c>
      <c r="BK28" t="s">
        <v>187</v>
      </c>
      <c r="BL28" t="s">
        <v>2109</v>
      </c>
      <c r="BM28" t="s">
        <v>2908</v>
      </c>
      <c r="BN28" t="s">
        <v>74</v>
      </c>
      <c r="BO28" t="s">
        <v>190</v>
      </c>
      <c r="BP28" t="s">
        <v>74</v>
      </c>
      <c r="BQ28" t="s">
        <v>74</v>
      </c>
      <c r="BR28" t="s">
        <v>105</v>
      </c>
      <c r="BS28" t="s">
        <v>2909</v>
      </c>
      <c r="BT28" t="str">
        <f>HYPERLINK("https%3A%2F%2Fwww.webofscience.com%2Fwos%2Fwoscc%2Ffull-record%2FWOS:000919602800003","View Full Record in Web of Science")</f>
        <v>View Full Record in Web of Science</v>
      </c>
    </row>
    <row r="29" spans="1:72" x14ac:dyDescent="0.2">
      <c r="A29" t="s">
        <v>72</v>
      </c>
      <c r="B29" t="s">
        <v>4684</v>
      </c>
      <c r="C29" t="s">
        <v>74</v>
      </c>
      <c r="D29" t="s">
        <v>74</v>
      </c>
      <c r="E29" t="s">
        <v>74</v>
      </c>
      <c r="F29" t="s">
        <v>4685</v>
      </c>
      <c r="G29" t="s">
        <v>74</v>
      </c>
      <c r="H29" t="s">
        <v>74</v>
      </c>
      <c r="I29" t="s">
        <v>4686</v>
      </c>
      <c r="J29" t="s">
        <v>4687</v>
      </c>
      <c r="K29" t="s">
        <v>74</v>
      </c>
      <c r="L29" t="s">
        <v>74</v>
      </c>
      <c r="M29" t="s">
        <v>78</v>
      </c>
      <c r="N29" t="s">
        <v>79</v>
      </c>
      <c r="O29" t="s">
        <v>74</v>
      </c>
      <c r="P29" t="s">
        <v>74</v>
      </c>
      <c r="Q29" t="s">
        <v>74</v>
      </c>
      <c r="R29" t="s">
        <v>74</v>
      </c>
      <c r="S29" t="s">
        <v>74</v>
      </c>
      <c r="T29" t="s">
        <v>4688</v>
      </c>
      <c r="U29" t="s">
        <v>4689</v>
      </c>
      <c r="V29" t="s">
        <v>4690</v>
      </c>
      <c r="W29" s="1" t="s">
        <v>4691</v>
      </c>
      <c r="X29" t="s">
        <v>4692</v>
      </c>
      <c r="Y29" t="s">
        <v>4693</v>
      </c>
      <c r="Z29" t="s">
        <v>3623</v>
      </c>
      <c r="AA29" t="s">
        <v>4694</v>
      </c>
      <c r="AB29" t="s">
        <v>4695</v>
      </c>
      <c r="AC29" t="s">
        <v>74</v>
      </c>
      <c r="AD29" t="s">
        <v>74</v>
      </c>
      <c r="AE29" t="s">
        <v>74</v>
      </c>
      <c r="AF29" t="s">
        <v>4696</v>
      </c>
      <c r="AG29">
        <v>49</v>
      </c>
      <c r="AH29">
        <v>1</v>
      </c>
      <c r="AI29">
        <v>1</v>
      </c>
      <c r="AJ29">
        <v>6</v>
      </c>
      <c r="AK29">
        <v>6</v>
      </c>
      <c r="AL29" t="s">
        <v>93</v>
      </c>
      <c r="AM29" t="s">
        <v>94</v>
      </c>
      <c r="AN29" t="s">
        <v>95</v>
      </c>
      <c r="AO29" t="s">
        <v>4697</v>
      </c>
      <c r="AP29" t="s">
        <v>74</v>
      </c>
      <c r="AQ29" t="s">
        <v>74</v>
      </c>
      <c r="AR29" t="s">
        <v>4698</v>
      </c>
      <c r="AS29" t="s">
        <v>4699</v>
      </c>
      <c r="AT29" t="s">
        <v>1683</v>
      </c>
      <c r="AU29">
        <v>2022</v>
      </c>
      <c r="AV29">
        <v>7</v>
      </c>
      <c r="AW29">
        <v>4</v>
      </c>
      <c r="AX29" t="s">
        <v>74</v>
      </c>
      <c r="AY29" t="s">
        <v>74</v>
      </c>
      <c r="AZ29" t="s">
        <v>74</v>
      </c>
      <c r="BA29" t="s">
        <v>74</v>
      </c>
      <c r="BB29" t="s">
        <v>74</v>
      </c>
      <c r="BC29" t="s">
        <v>74</v>
      </c>
      <c r="BD29">
        <v>69</v>
      </c>
      <c r="BE29" t="s">
        <v>4700</v>
      </c>
      <c r="BF29" t="str">
        <f>HYPERLINK("http://dx.doi.org/10.3390/condmat7040069","http://dx.doi.org/10.3390/condmat7040069")</f>
        <v>http://dx.doi.org/10.3390/condmat7040069</v>
      </c>
      <c r="BG29" t="s">
        <v>74</v>
      </c>
      <c r="BH29" t="s">
        <v>74</v>
      </c>
      <c r="BI29">
        <v>20</v>
      </c>
      <c r="BJ29" t="s">
        <v>4701</v>
      </c>
      <c r="BK29" t="s">
        <v>187</v>
      </c>
      <c r="BL29" t="s">
        <v>905</v>
      </c>
      <c r="BM29" t="s">
        <v>4702</v>
      </c>
      <c r="BN29" t="s">
        <v>74</v>
      </c>
      <c r="BO29" t="s">
        <v>190</v>
      </c>
      <c r="BP29" t="s">
        <v>74</v>
      </c>
      <c r="BQ29" t="s">
        <v>74</v>
      </c>
      <c r="BR29" t="s">
        <v>105</v>
      </c>
      <c r="BS29" t="s">
        <v>4703</v>
      </c>
      <c r="BT29" t="str">
        <f>HYPERLINK("https%3A%2F%2Fwww.webofscience.com%2Fwos%2Fwoscc%2Ffull-record%2FWOS:000900653400001","View Full Record in Web of Science")</f>
        <v>View Full Record in Web of Science</v>
      </c>
    </row>
    <row r="30" spans="1:72" x14ac:dyDescent="0.2">
      <c r="A30" t="s">
        <v>72</v>
      </c>
      <c r="B30" t="s">
        <v>1780</v>
      </c>
      <c r="C30" t="s">
        <v>74</v>
      </c>
      <c r="D30" t="s">
        <v>74</v>
      </c>
      <c r="E30" t="s">
        <v>74</v>
      </c>
      <c r="F30" t="s">
        <v>1781</v>
      </c>
      <c r="G30" t="s">
        <v>74</v>
      </c>
      <c r="H30" t="s">
        <v>74</v>
      </c>
      <c r="I30" t="s">
        <v>1782</v>
      </c>
      <c r="J30" t="s">
        <v>1622</v>
      </c>
      <c r="K30" t="s">
        <v>74</v>
      </c>
      <c r="L30" t="s">
        <v>74</v>
      </c>
      <c r="M30" t="s">
        <v>78</v>
      </c>
      <c r="N30" t="s">
        <v>79</v>
      </c>
      <c r="O30" t="s">
        <v>74</v>
      </c>
      <c r="P30" t="s">
        <v>74</v>
      </c>
      <c r="Q30" t="s">
        <v>74</v>
      </c>
      <c r="R30" t="s">
        <v>74</v>
      </c>
      <c r="S30" t="s">
        <v>74</v>
      </c>
      <c r="T30" t="s">
        <v>1783</v>
      </c>
      <c r="U30" t="s">
        <v>1784</v>
      </c>
      <c r="V30" t="s">
        <v>1785</v>
      </c>
      <c r="W30" s="1" t="s">
        <v>1786</v>
      </c>
      <c r="X30" t="s">
        <v>84</v>
      </c>
      <c r="Y30" t="s">
        <v>1787</v>
      </c>
      <c r="Z30" t="s">
        <v>1788</v>
      </c>
      <c r="AA30" t="s">
        <v>74</v>
      </c>
      <c r="AB30" t="s">
        <v>74</v>
      </c>
      <c r="AC30" t="s">
        <v>74</v>
      </c>
      <c r="AD30" t="s">
        <v>74</v>
      </c>
      <c r="AE30" t="s">
        <v>74</v>
      </c>
      <c r="AF30" t="s">
        <v>1789</v>
      </c>
      <c r="AG30">
        <v>35</v>
      </c>
      <c r="AH30">
        <v>0</v>
      </c>
      <c r="AI30">
        <v>0</v>
      </c>
      <c r="AJ30">
        <v>0</v>
      </c>
      <c r="AK30">
        <v>0</v>
      </c>
      <c r="AL30" t="s">
        <v>1631</v>
      </c>
      <c r="AM30" t="s">
        <v>1632</v>
      </c>
      <c r="AN30" t="s">
        <v>1633</v>
      </c>
      <c r="AO30" t="s">
        <v>1634</v>
      </c>
      <c r="AP30" t="s">
        <v>1635</v>
      </c>
      <c r="AQ30" t="s">
        <v>74</v>
      </c>
      <c r="AR30" t="s">
        <v>1622</v>
      </c>
      <c r="AS30" t="s">
        <v>1622</v>
      </c>
      <c r="AT30" t="s">
        <v>1487</v>
      </c>
      <c r="AU30">
        <v>2023</v>
      </c>
      <c r="AV30">
        <v>19</v>
      </c>
      <c r="AW30">
        <v>2</v>
      </c>
      <c r="AX30" t="s">
        <v>74</v>
      </c>
      <c r="AY30" t="s">
        <v>74</v>
      </c>
      <c r="AZ30" t="s">
        <v>74</v>
      </c>
      <c r="BA30" t="s">
        <v>74</v>
      </c>
      <c r="BB30" t="s">
        <v>74</v>
      </c>
      <c r="BC30" t="s">
        <v>74</v>
      </c>
      <c r="BD30" t="s">
        <v>74</v>
      </c>
      <c r="BE30" t="s">
        <v>1790</v>
      </c>
      <c r="BF30" t="str">
        <f>HYPERLINK("http://dx.doi.org/10.17981/ingecuc.19.2.2023.03","http://dx.doi.org/10.17981/ingecuc.19.2.2023.03")</f>
        <v>http://dx.doi.org/10.17981/ingecuc.19.2.2023.03</v>
      </c>
      <c r="BG30" t="s">
        <v>74</v>
      </c>
      <c r="BH30" t="s">
        <v>74</v>
      </c>
      <c r="BI30">
        <v>9</v>
      </c>
      <c r="BJ30" t="s">
        <v>323</v>
      </c>
      <c r="BK30" t="s">
        <v>187</v>
      </c>
      <c r="BL30" t="s">
        <v>324</v>
      </c>
      <c r="BM30" t="s">
        <v>1791</v>
      </c>
      <c r="BN30" t="s">
        <v>74</v>
      </c>
      <c r="BO30" t="s">
        <v>74</v>
      </c>
      <c r="BP30" t="s">
        <v>74</v>
      </c>
      <c r="BQ30" t="s">
        <v>74</v>
      </c>
      <c r="BR30" t="s">
        <v>105</v>
      </c>
      <c r="BS30" t="s">
        <v>1792</v>
      </c>
      <c r="BT30" t="str">
        <f>HYPERLINK("https%3A%2F%2Fwww.webofscience.com%2Fwos%2Fwoscc%2Ffull-record%2FWOS:000980430200003","View Full Record in Web of Science")</f>
        <v>View Full Record in Web of Science</v>
      </c>
    </row>
    <row r="31" spans="1:72" x14ac:dyDescent="0.2">
      <c r="A31" t="s">
        <v>72</v>
      </c>
      <c r="B31" t="s">
        <v>1689</v>
      </c>
      <c r="C31" t="s">
        <v>74</v>
      </c>
      <c r="D31" t="s">
        <v>74</v>
      </c>
      <c r="E31" t="s">
        <v>74</v>
      </c>
      <c r="F31" t="s">
        <v>1690</v>
      </c>
      <c r="G31" t="s">
        <v>74</v>
      </c>
      <c r="H31" t="s">
        <v>74</v>
      </c>
      <c r="I31" t="s">
        <v>1691</v>
      </c>
      <c r="J31" t="s">
        <v>1692</v>
      </c>
      <c r="K31" t="s">
        <v>74</v>
      </c>
      <c r="L31" t="s">
        <v>74</v>
      </c>
      <c r="M31" t="s">
        <v>78</v>
      </c>
      <c r="N31" t="s">
        <v>79</v>
      </c>
      <c r="O31" t="s">
        <v>74</v>
      </c>
      <c r="P31" t="s">
        <v>74</v>
      </c>
      <c r="Q31" t="s">
        <v>74</v>
      </c>
      <c r="R31" t="s">
        <v>74</v>
      </c>
      <c r="S31" t="s">
        <v>74</v>
      </c>
      <c r="T31" t="s">
        <v>1693</v>
      </c>
      <c r="U31" t="s">
        <v>1694</v>
      </c>
      <c r="V31" t="s">
        <v>1695</v>
      </c>
      <c r="W31" s="1" t="s">
        <v>1696</v>
      </c>
      <c r="X31" t="s">
        <v>142</v>
      </c>
      <c r="Y31" t="s">
        <v>1697</v>
      </c>
      <c r="Z31" t="s">
        <v>1698</v>
      </c>
      <c r="AA31" t="s">
        <v>1699</v>
      </c>
      <c r="AB31" t="s">
        <v>1700</v>
      </c>
      <c r="AC31" t="s">
        <v>1701</v>
      </c>
      <c r="AD31" t="s">
        <v>1702</v>
      </c>
      <c r="AE31" t="s">
        <v>1703</v>
      </c>
      <c r="AF31" t="s">
        <v>1704</v>
      </c>
      <c r="AG31">
        <v>75</v>
      </c>
      <c r="AH31">
        <v>0</v>
      </c>
      <c r="AI31">
        <v>0</v>
      </c>
      <c r="AJ31">
        <v>0</v>
      </c>
      <c r="AK31">
        <v>1</v>
      </c>
      <c r="AL31" t="s">
        <v>1705</v>
      </c>
      <c r="AM31" t="s">
        <v>1706</v>
      </c>
      <c r="AN31" t="s">
        <v>1707</v>
      </c>
      <c r="AO31" t="s">
        <v>1708</v>
      </c>
      <c r="AP31" t="s">
        <v>1709</v>
      </c>
      <c r="AQ31" t="s">
        <v>74</v>
      </c>
      <c r="AR31" t="s">
        <v>1692</v>
      </c>
      <c r="AS31" t="s">
        <v>1710</v>
      </c>
      <c r="AT31" t="s">
        <v>295</v>
      </c>
      <c r="AU31">
        <v>2022</v>
      </c>
      <c r="AV31">
        <v>63</v>
      </c>
      <c r="AW31">
        <v>6</v>
      </c>
      <c r="AX31" t="s">
        <v>74</v>
      </c>
      <c r="AY31" t="s">
        <v>74</v>
      </c>
      <c r="AZ31" t="s">
        <v>74</v>
      </c>
      <c r="BA31" t="s">
        <v>74</v>
      </c>
      <c r="BB31">
        <v>611</v>
      </c>
      <c r="BC31">
        <v>625</v>
      </c>
      <c r="BD31" t="s">
        <v>74</v>
      </c>
      <c r="BE31" t="s">
        <v>1711</v>
      </c>
      <c r="BF31" t="str">
        <f>HYPERLINK("http://dx.doi.org/10.1007/s10329-022-01019-8","http://dx.doi.org/10.1007/s10329-022-01019-8")</f>
        <v>http://dx.doi.org/10.1007/s10329-022-01019-8</v>
      </c>
      <c r="BG31" t="s">
        <v>74</v>
      </c>
      <c r="BH31" t="s">
        <v>1137</v>
      </c>
      <c r="BI31">
        <v>15</v>
      </c>
      <c r="BJ31" t="s">
        <v>1712</v>
      </c>
      <c r="BK31" t="s">
        <v>102</v>
      </c>
      <c r="BL31" t="s">
        <v>1712</v>
      </c>
      <c r="BM31" t="s">
        <v>1713</v>
      </c>
      <c r="BN31">
        <v>36114442</v>
      </c>
      <c r="BO31" t="s">
        <v>1082</v>
      </c>
      <c r="BP31" t="s">
        <v>74</v>
      </c>
      <c r="BQ31" t="s">
        <v>74</v>
      </c>
      <c r="BR31" t="s">
        <v>105</v>
      </c>
      <c r="BS31" t="s">
        <v>1714</v>
      </c>
      <c r="BT31" t="str">
        <f>HYPERLINK("https%3A%2F%2Fwww.webofscience.com%2Fwos%2Fwoscc%2Ffull-record%2FWOS:000854422800001","View Full Record in Web of Science")</f>
        <v>View Full Record in Web of Science</v>
      </c>
    </row>
    <row r="32" spans="1:72" x14ac:dyDescent="0.2">
      <c r="A32" t="s">
        <v>72</v>
      </c>
      <c r="B32" t="s">
        <v>4380</v>
      </c>
      <c r="C32" t="s">
        <v>74</v>
      </c>
      <c r="D32" t="s">
        <v>74</v>
      </c>
      <c r="E32" t="s">
        <v>74</v>
      </c>
      <c r="F32" t="s">
        <v>4381</v>
      </c>
      <c r="G32" t="s">
        <v>74</v>
      </c>
      <c r="H32" t="s">
        <v>74</v>
      </c>
      <c r="I32" t="s">
        <v>4382</v>
      </c>
      <c r="J32" t="s">
        <v>4383</v>
      </c>
      <c r="K32" t="s">
        <v>74</v>
      </c>
      <c r="L32" t="s">
        <v>74</v>
      </c>
      <c r="M32" t="s">
        <v>78</v>
      </c>
      <c r="N32" t="s">
        <v>79</v>
      </c>
      <c r="O32" t="s">
        <v>74</v>
      </c>
      <c r="P32" t="s">
        <v>74</v>
      </c>
      <c r="Q32" t="s">
        <v>74</v>
      </c>
      <c r="R32" t="s">
        <v>74</v>
      </c>
      <c r="S32" t="s">
        <v>74</v>
      </c>
      <c r="T32" t="s">
        <v>4384</v>
      </c>
      <c r="U32" t="s">
        <v>4385</v>
      </c>
      <c r="V32" t="s">
        <v>4386</v>
      </c>
      <c r="W32" s="1" t="s">
        <v>4387</v>
      </c>
      <c r="X32" t="s">
        <v>4388</v>
      </c>
      <c r="Y32" t="s">
        <v>4389</v>
      </c>
      <c r="Z32" t="s">
        <v>4390</v>
      </c>
      <c r="AA32" t="s">
        <v>74</v>
      </c>
      <c r="AB32" t="s">
        <v>74</v>
      </c>
      <c r="AC32" t="s">
        <v>4391</v>
      </c>
      <c r="AD32" t="s">
        <v>4392</v>
      </c>
      <c r="AE32" t="s">
        <v>4393</v>
      </c>
      <c r="AF32" t="s">
        <v>4394</v>
      </c>
      <c r="AG32">
        <v>123</v>
      </c>
      <c r="AH32">
        <v>0</v>
      </c>
      <c r="AI32">
        <v>0</v>
      </c>
      <c r="AJ32">
        <v>0</v>
      </c>
      <c r="AK32">
        <v>0</v>
      </c>
      <c r="AL32" t="s">
        <v>3767</v>
      </c>
      <c r="AM32" t="s">
        <v>3768</v>
      </c>
      <c r="AN32" t="s">
        <v>3769</v>
      </c>
      <c r="AO32" t="s">
        <v>4395</v>
      </c>
      <c r="AP32" t="s">
        <v>4396</v>
      </c>
      <c r="AQ32" t="s">
        <v>74</v>
      </c>
      <c r="AR32" t="s">
        <v>4383</v>
      </c>
      <c r="AS32" t="s">
        <v>4397</v>
      </c>
      <c r="AT32" t="s">
        <v>4398</v>
      </c>
      <c r="AU32">
        <v>2023</v>
      </c>
      <c r="AV32">
        <v>587</v>
      </c>
      <c r="AW32">
        <v>2</v>
      </c>
      <c r="AX32" t="s">
        <v>74</v>
      </c>
      <c r="AY32" t="s">
        <v>74</v>
      </c>
      <c r="AZ32" t="s">
        <v>74</v>
      </c>
      <c r="BA32" t="s">
        <v>74</v>
      </c>
      <c r="BB32">
        <v>73</v>
      </c>
      <c r="BC32">
        <v>120</v>
      </c>
      <c r="BD32" t="s">
        <v>74</v>
      </c>
      <c r="BE32" t="s">
        <v>4399</v>
      </c>
      <c r="BF32" t="str">
        <f>HYPERLINK("http://dx.doi.org/10.11646/phytotaxa.587.2.1","http://dx.doi.org/10.11646/phytotaxa.587.2.1")</f>
        <v>http://dx.doi.org/10.11646/phytotaxa.587.2.1</v>
      </c>
      <c r="BG32" t="s">
        <v>74</v>
      </c>
      <c r="BH32" t="s">
        <v>74</v>
      </c>
      <c r="BI32">
        <v>48</v>
      </c>
      <c r="BJ32" t="s">
        <v>3068</v>
      </c>
      <c r="BK32" t="s">
        <v>102</v>
      </c>
      <c r="BL32" t="s">
        <v>3068</v>
      </c>
      <c r="BM32" t="s">
        <v>4400</v>
      </c>
      <c r="BN32" t="s">
        <v>74</v>
      </c>
      <c r="BO32" t="s">
        <v>74</v>
      </c>
      <c r="BP32" t="s">
        <v>74</v>
      </c>
      <c r="BQ32" t="s">
        <v>74</v>
      </c>
      <c r="BR32" t="s">
        <v>105</v>
      </c>
      <c r="BS32" t="s">
        <v>4401</v>
      </c>
      <c r="BT32" t="str">
        <f>HYPERLINK("https%3A%2F%2Fwww.webofscience.com%2Fwos%2Fwoscc%2Ffull-record%2FWOS:000956627800001","View Full Record in Web of Science")</f>
        <v>View Full Record in Web of Science</v>
      </c>
    </row>
    <row r="33" spans="1:72" x14ac:dyDescent="0.2">
      <c r="A33" t="s">
        <v>72</v>
      </c>
      <c r="B33" t="s">
        <v>5920</v>
      </c>
      <c r="C33" t="s">
        <v>74</v>
      </c>
      <c r="D33" t="s">
        <v>74</v>
      </c>
      <c r="E33" t="s">
        <v>74</v>
      </c>
      <c r="F33" t="s">
        <v>5921</v>
      </c>
      <c r="G33" t="s">
        <v>74</v>
      </c>
      <c r="H33" t="s">
        <v>74</v>
      </c>
      <c r="I33" t="s">
        <v>5922</v>
      </c>
      <c r="J33" t="s">
        <v>5923</v>
      </c>
      <c r="K33" t="s">
        <v>74</v>
      </c>
      <c r="L33" t="s">
        <v>74</v>
      </c>
      <c r="M33" t="s">
        <v>78</v>
      </c>
      <c r="N33" t="s">
        <v>2006</v>
      </c>
      <c r="O33" t="s">
        <v>74</v>
      </c>
      <c r="P33" t="s">
        <v>74</v>
      </c>
      <c r="Q33" t="s">
        <v>74</v>
      </c>
      <c r="R33" t="s">
        <v>74</v>
      </c>
      <c r="S33" t="s">
        <v>74</v>
      </c>
      <c r="T33" t="s">
        <v>74</v>
      </c>
      <c r="U33" t="s">
        <v>74</v>
      </c>
      <c r="V33" t="s">
        <v>74</v>
      </c>
      <c r="W33" s="1" t="s">
        <v>5924</v>
      </c>
      <c r="X33" t="s">
        <v>84</v>
      </c>
      <c r="Y33" t="s">
        <v>5925</v>
      </c>
      <c r="Z33" t="s">
        <v>5926</v>
      </c>
      <c r="AA33" t="s">
        <v>74</v>
      </c>
      <c r="AB33" t="s">
        <v>74</v>
      </c>
      <c r="AC33" t="s">
        <v>74</v>
      </c>
      <c r="AD33" t="s">
        <v>74</v>
      </c>
      <c r="AE33" t="s">
        <v>74</v>
      </c>
      <c r="AF33" t="s">
        <v>5927</v>
      </c>
      <c r="AG33">
        <v>2</v>
      </c>
      <c r="AH33">
        <v>0</v>
      </c>
      <c r="AI33">
        <v>0</v>
      </c>
      <c r="AJ33">
        <v>1</v>
      </c>
      <c r="AK33">
        <v>1</v>
      </c>
      <c r="AL33" t="s">
        <v>5928</v>
      </c>
      <c r="AM33" t="s">
        <v>5621</v>
      </c>
      <c r="AN33" t="s">
        <v>5929</v>
      </c>
      <c r="AO33" t="s">
        <v>5930</v>
      </c>
      <c r="AP33" t="s">
        <v>74</v>
      </c>
      <c r="AQ33" t="s">
        <v>74</v>
      </c>
      <c r="AR33" t="s">
        <v>5923</v>
      </c>
      <c r="AS33" t="s">
        <v>5931</v>
      </c>
      <c r="AT33" t="s">
        <v>295</v>
      </c>
      <c r="AU33">
        <v>2022</v>
      </c>
      <c r="AV33">
        <v>45</v>
      </c>
      <c r="AW33">
        <v>1</v>
      </c>
      <c r="AX33" t="s">
        <v>74</v>
      </c>
      <c r="AY33" t="s">
        <v>74</v>
      </c>
      <c r="AZ33" t="s">
        <v>74</v>
      </c>
      <c r="BA33" t="s">
        <v>74</v>
      </c>
      <c r="BB33">
        <v>38</v>
      </c>
      <c r="BC33">
        <v>38</v>
      </c>
      <c r="BD33" t="s">
        <v>74</v>
      </c>
      <c r="BE33" t="s">
        <v>74</v>
      </c>
      <c r="BF33" t="s">
        <v>74</v>
      </c>
      <c r="BG33" t="s">
        <v>74</v>
      </c>
      <c r="BH33" t="s">
        <v>74</v>
      </c>
      <c r="BI33">
        <v>1</v>
      </c>
      <c r="BJ33" t="s">
        <v>5932</v>
      </c>
      <c r="BK33" t="s">
        <v>102</v>
      </c>
      <c r="BL33" t="s">
        <v>5933</v>
      </c>
      <c r="BM33" t="s">
        <v>5934</v>
      </c>
      <c r="BN33" t="s">
        <v>74</v>
      </c>
      <c r="BO33" t="s">
        <v>74</v>
      </c>
      <c r="BP33" t="s">
        <v>74</v>
      </c>
      <c r="BQ33" t="s">
        <v>74</v>
      </c>
      <c r="BR33" t="s">
        <v>105</v>
      </c>
      <c r="BS33" t="s">
        <v>5935</v>
      </c>
      <c r="BT33" t="str">
        <f>HYPERLINK("https%3A%2F%2Fwww.webofscience.com%2Fwos%2Fwoscc%2Ffull-record%2FWOS:000925131600014","View Full Record in Web of Science")</f>
        <v>View Full Record in Web of Science</v>
      </c>
    </row>
    <row r="34" spans="1:72" x14ac:dyDescent="0.2">
      <c r="A34" t="s">
        <v>72</v>
      </c>
      <c r="B34" t="s">
        <v>5419</v>
      </c>
      <c r="C34" t="s">
        <v>74</v>
      </c>
      <c r="D34" t="s">
        <v>74</v>
      </c>
      <c r="E34" t="s">
        <v>74</v>
      </c>
      <c r="F34" t="s">
        <v>5420</v>
      </c>
      <c r="G34" t="s">
        <v>74</v>
      </c>
      <c r="H34" t="s">
        <v>74</v>
      </c>
      <c r="I34" t="s">
        <v>5421</v>
      </c>
      <c r="J34" t="s">
        <v>607</v>
      </c>
      <c r="K34" t="s">
        <v>74</v>
      </c>
      <c r="L34" t="s">
        <v>74</v>
      </c>
      <c r="M34" t="s">
        <v>78</v>
      </c>
      <c r="N34" t="s">
        <v>79</v>
      </c>
      <c r="O34" t="s">
        <v>74</v>
      </c>
      <c r="P34" t="s">
        <v>74</v>
      </c>
      <c r="Q34" t="s">
        <v>74</v>
      </c>
      <c r="R34" t="s">
        <v>74</v>
      </c>
      <c r="S34" t="s">
        <v>74</v>
      </c>
      <c r="T34" t="s">
        <v>5422</v>
      </c>
      <c r="U34" t="s">
        <v>5423</v>
      </c>
      <c r="V34" t="s">
        <v>5424</v>
      </c>
      <c r="W34" s="1" t="s">
        <v>5425</v>
      </c>
      <c r="X34" t="s">
        <v>5426</v>
      </c>
      <c r="Y34" t="s">
        <v>5427</v>
      </c>
      <c r="Z34" t="s">
        <v>5428</v>
      </c>
      <c r="AA34" t="s">
        <v>919</v>
      </c>
      <c r="AB34" t="s">
        <v>5429</v>
      </c>
      <c r="AC34" t="s">
        <v>74</v>
      </c>
      <c r="AD34" t="s">
        <v>74</v>
      </c>
      <c r="AE34" t="s">
        <v>74</v>
      </c>
      <c r="AF34" t="s">
        <v>5430</v>
      </c>
      <c r="AG34">
        <v>32</v>
      </c>
      <c r="AH34">
        <v>0</v>
      </c>
      <c r="AI34">
        <v>0</v>
      </c>
      <c r="AJ34">
        <v>2</v>
      </c>
      <c r="AK34">
        <v>2</v>
      </c>
      <c r="AL34" t="s">
        <v>619</v>
      </c>
      <c r="AM34" t="s">
        <v>620</v>
      </c>
      <c r="AN34" t="s">
        <v>621</v>
      </c>
      <c r="AO34" t="s">
        <v>74</v>
      </c>
      <c r="AP34" t="s">
        <v>622</v>
      </c>
      <c r="AQ34" t="s">
        <v>74</v>
      </c>
      <c r="AR34" t="s">
        <v>607</v>
      </c>
      <c r="AS34" t="s">
        <v>623</v>
      </c>
      <c r="AT34" t="s">
        <v>1029</v>
      </c>
      <c r="AU34">
        <v>2022</v>
      </c>
      <c r="AV34">
        <v>8</v>
      </c>
      <c r="AW34">
        <v>2</v>
      </c>
      <c r="AX34" t="s">
        <v>74</v>
      </c>
      <c r="AY34" t="s">
        <v>74</v>
      </c>
      <c r="AZ34" t="s">
        <v>74</v>
      </c>
      <c r="BA34" t="s">
        <v>74</v>
      </c>
      <c r="BB34" t="s">
        <v>74</v>
      </c>
      <c r="BC34" t="s">
        <v>74</v>
      </c>
      <c r="BD34" t="s">
        <v>5431</v>
      </c>
      <c r="BE34" t="s">
        <v>5432</v>
      </c>
      <c r="BF34" t="str">
        <f>HYPERLINK("http://dx.doi.org/10.1016/j.heliyon.2022.e08978","http://dx.doi.org/10.1016/j.heliyon.2022.e08978")</f>
        <v>http://dx.doi.org/10.1016/j.heliyon.2022.e08978</v>
      </c>
      <c r="BG34" t="s">
        <v>74</v>
      </c>
      <c r="BH34" t="s">
        <v>1214</v>
      </c>
      <c r="BI34">
        <v>5</v>
      </c>
      <c r="BJ34" t="s">
        <v>627</v>
      </c>
      <c r="BK34" t="s">
        <v>298</v>
      </c>
      <c r="BL34" t="s">
        <v>628</v>
      </c>
      <c r="BM34" t="s">
        <v>5433</v>
      </c>
      <c r="BN34">
        <v>35243096</v>
      </c>
      <c r="BO34" t="s">
        <v>131</v>
      </c>
      <c r="BP34" t="s">
        <v>74</v>
      </c>
      <c r="BQ34" t="s">
        <v>74</v>
      </c>
      <c r="BR34" t="s">
        <v>105</v>
      </c>
      <c r="BS34" t="s">
        <v>5434</v>
      </c>
      <c r="BT34" t="str">
        <f>HYPERLINK("https%3A%2F%2Fwww.webofscience.com%2Fwos%2Fwoscc%2Ffull-record%2FWOS:000767225100142","View Full Record in Web of Science")</f>
        <v>View Full Record in Web of Science</v>
      </c>
    </row>
    <row r="35" spans="1:72" x14ac:dyDescent="0.2">
      <c r="A35" t="s">
        <v>72</v>
      </c>
      <c r="B35" t="s">
        <v>4869</v>
      </c>
      <c r="C35" t="s">
        <v>74</v>
      </c>
      <c r="D35" t="s">
        <v>74</v>
      </c>
      <c r="E35" t="s">
        <v>74</v>
      </c>
      <c r="F35" t="s">
        <v>4870</v>
      </c>
      <c r="G35" t="s">
        <v>74</v>
      </c>
      <c r="H35" t="s">
        <v>74</v>
      </c>
      <c r="I35" t="s">
        <v>4871</v>
      </c>
      <c r="J35" t="s">
        <v>4872</v>
      </c>
      <c r="K35" t="s">
        <v>74</v>
      </c>
      <c r="L35" t="s">
        <v>74</v>
      </c>
      <c r="M35" t="s">
        <v>78</v>
      </c>
      <c r="N35" t="s">
        <v>79</v>
      </c>
      <c r="O35" t="s">
        <v>74</v>
      </c>
      <c r="P35" t="s">
        <v>74</v>
      </c>
      <c r="Q35" t="s">
        <v>74</v>
      </c>
      <c r="R35" t="s">
        <v>74</v>
      </c>
      <c r="S35" t="s">
        <v>74</v>
      </c>
      <c r="T35" t="s">
        <v>4873</v>
      </c>
      <c r="U35" t="s">
        <v>4874</v>
      </c>
      <c r="V35" t="s">
        <v>4875</v>
      </c>
      <c r="W35" s="1" t="s">
        <v>4876</v>
      </c>
      <c r="X35" t="s">
        <v>4877</v>
      </c>
      <c r="Y35" t="s">
        <v>4878</v>
      </c>
      <c r="Z35" t="s">
        <v>4879</v>
      </c>
      <c r="AA35" t="s">
        <v>4880</v>
      </c>
      <c r="AB35" t="s">
        <v>4881</v>
      </c>
      <c r="AC35" t="s">
        <v>74</v>
      </c>
      <c r="AD35" t="s">
        <v>74</v>
      </c>
      <c r="AE35" t="s">
        <v>74</v>
      </c>
      <c r="AF35" t="s">
        <v>4882</v>
      </c>
      <c r="AG35">
        <v>58</v>
      </c>
      <c r="AH35">
        <v>0</v>
      </c>
      <c r="AI35">
        <v>0</v>
      </c>
      <c r="AJ35">
        <v>2</v>
      </c>
      <c r="AK35">
        <v>2</v>
      </c>
      <c r="AL35" t="s">
        <v>727</v>
      </c>
      <c r="AM35" t="s">
        <v>728</v>
      </c>
      <c r="AN35" t="s">
        <v>729</v>
      </c>
      <c r="AO35" t="s">
        <v>4883</v>
      </c>
      <c r="AP35" t="s">
        <v>4884</v>
      </c>
      <c r="AQ35" t="s">
        <v>74</v>
      </c>
      <c r="AR35" t="s">
        <v>4885</v>
      </c>
      <c r="AS35" t="s">
        <v>4886</v>
      </c>
      <c r="AT35" t="s">
        <v>4887</v>
      </c>
      <c r="AU35">
        <v>2022</v>
      </c>
      <c r="AV35">
        <v>47</v>
      </c>
      <c r="AW35">
        <v>6</v>
      </c>
      <c r="AX35" t="s">
        <v>74</v>
      </c>
      <c r="AY35" t="s">
        <v>74</v>
      </c>
      <c r="AZ35" t="s">
        <v>74</v>
      </c>
      <c r="BA35" t="s">
        <v>74</v>
      </c>
      <c r="BB35">
        <v>1260</v>
      </c>
      <c r="BC35">
        <v>1277</v>
      </c>
      <c r="BD35" t="s">
        <v>74</v>
      </c>
      <c r="BE35" t="s">
        <v>4888</v>
      </c>
      <c r="BF35" t="str">
        <f>HYPERLINK("http://dx.doi.org/10.1080/03043797.2022.2149388","http://dx.doi.org/10.1080/03043797.2022.2149388")</f>
        <v>http://dx.doi.org/10.1080/03043797.2022.2149388</v>
      </c>
      <c r="BG35" t="s">
        <v>74</v>
      </c>
      <c r="BH35" t="s">
        <v>1164</v>
      </c>
      <c r="BI35">
        <v>18</v>
      </c>
      <c r="BJ35" t="s">
        <v>963</v>
      </c>
      <c r="BK35" t="s">
        <v>187</v>
      </c>
      <c r="BL35" t="s">
        <v>963</v>
      </c>
      <c r="BM35" t="s">
        <v>4889</v>
      </c>
      <c r="BN35" t="s">
        <v>74</v>
      </c>
      <c r="BO35" t="s">
        <v>74</v>
      </c>
      <c r="BP35" t="s">
        <v>74</v>
      </c>
      <c r="BQ35" t="s">
        <v>74</v>
      </c>
      <c r="BR35" t="s">
        <v>105</v>
      </c>
      <c r="BS35" t="s">
        <v>4890</v>
      </c>
      <c r="BT35" t="str">
        <f>HYPERLINK("https%3A%2F%2Fwww.webofscience.com%2Fwos%2Fwoscc%2Ffull-record%2FWOS:000889865400001","View Full Record in Web of Science")</f>
        <v>View Full Record in Web of Science</v>
      </c>
    </row>
    <row r="36" spans="1:72" x14ac:dyDescent="0.2">
      <c r="A36" t="s">
        <v>72</v>
      </c>
      <c r="B36" t="s">
        <v>192</v>
      </c>
      <c r="C36" t="s">
        <v>74</v>
      </c>
      <c r="D36" t="s">
        <v>74</v>
      </c>
      <c r="E36" t="s">
        <v>74</v>
      </c>
      <c r="F36" t="s">
        <v>193</v>
      </c>
      <c r="G36" t="s">
        <v>74</v>
      </c>
      <c r="H36" t="s">
        <v>74</v>
      </c>
      <c r="I36" t="s">
        <v>194</v>
      </c>
      <c r="J36" t="s">
        <v>195</v>
      </c>
      <c r="K36" t="s">
        <v>74</v>
      </c>
      <c r="L36" t="s">
        <v>74</v>
      </c>
      <c r="M36" t="s">
        <v>78</v>
      </c>
      <c r="N36" t="s">
        <v>167</v>
      </c>
      <c r="O36" t="s">
        <v>74</v>
      </c>
      <c r="P36" t="s">
        <v>74</v>
      </c>
      <c r="Q36" t="s">
        <v>74</v>
      </c>
      <c r="R36" t="s">
        <v>74</v>
      </c>
      <c r="S36" t="s">
        <v>74</v>
      </c>
      <c r="T36" t="s">
        <v>74</v>
      </c>
      <c r="U36" t="s">
        <v>196</v>
      </c>
      <c r="V36" t="s">
        <v>197</v>
      </c>
      <c r="W36" s="1" t="s">
        <v>198</v>
      </c>
      <c r="X36" t="s">
        <v>84</v>
      </c>
      <c r="Y36" t="s">
        <v>199</v>
      </c>
      <c r="Z36" t="s">
        <v>200</v>
      </c>
      <c r="AA36" t="s">
        <v>201</v>
      </c>
      <c r="AB36" t="s">
        <v>202</v>
      </c>
      <c r="AC36" t="s">
        <v>203</v>
      </c>
      <c r="AD36" t="s">
        <v>204</v>
      </c>
      <c r="AE36" t="s">
        <v>205</v>
      </c>
      <c r="AF36" t="s">
        <v>206</v>
      </c>
      <c r="AG36">
        <v>86</v>
      </c>
      <c r="AH36">
        <v>0</v>
      </c>
      <c r="AI36">
        <v>0</v>
      </c>
      <c r="AJ36">
        <v>7</v>
      </c>
      <c r="AK36">
        <v>7</v>
      </c>
      <c r="AL36" t="s">
        <v>207</v>
      </c>
      <c r="AM36" t="s">
        <v>208</v>
      </c>
      <c r="AN36" t="s">
        <v>209</v>
      </c>
      <c r="AO36" t="s">
        <v>74</v>
      </c>
      <c r="AP36" t="s">
        <v>210</v>
      </c>
      <c r="AQ36" t="s">
        <v>74</v>
      </c>
      <c r="AR36" t="s">
        <v>211</v>
      </c>
      <c r="AS36" t="s">
        <v>212</v>
      </c>
      <c r="AT36" t="s">
        <v>213</v>
      </c>
      <c r="AU36">
        <v>2022</v>
      </c>
      <c r="AV36">
        <v>12</v>
      </c>
      <c r="AW36">
        <v>54</v>
      </c>
      <c r="AX36" t="s">
        <v>74</v>
      </c>
      <c r="AY36" t="s">
        <v>74</v>
      </c>
      <c r="AZ36" t="s">
        <v>74</v>
      </c>
      <c r="BA36" t="s">
        <v>74</v>
      </c>
      <c r="BB36">
        <v>34965</v>
      </c>
      <c r="BC36">
        <v>34983</v>
      </c>
      <c r="BD36" t="s">
        <v>74</v>
      </c>
      <c r="BE36" t="s">
        <v>214</v>
      </c>
      <c r="BF36" t="str">
        <f>HYPERLINK("http://dx.doi.org/10.1039/d2ra07056a","http://dx.doi.org/10.1039/d2ra07056a")</f>
        <v>http://dx.doi.org/10.1039/d2ra07056a</v>
      </c>
      <c r="BG36" t="s">
        <v>74</v>
      </c>
      <c r="BH36" t="s">
        <v>74</v>
      </c>
      <c r="BI36">
        <v>19</v>
      </c>
      <c r="BJ36" t="s">
        <v>215</v>
      </c>
      <c r="BK36" t="s">
        <v>102</v>
      </c>
      <c r="BL36" t="s">
        <v>216</v>
      </c>
      <c r="BM36" t="s">
        <v>217</v>
      </c>
      <c r="BN36">
        <v>36540221</v>
      </c>
      <c r="BO36" t="s">
        <v>104</v>
      </c>
      <c r="BP36" t="s">
        <v>74</v>
      </c>
      <c r="BQ36" t="s">
        <v>74</v>
      </c>
      <c r="BR36" t="s">
        <v>105</v>
      </c>
      <c r="BS36" t="s">
        <v>218</v>
      </c>
      <c r="BT36" t="str">
        <f>HYPERLINK("https%3A%2F%2Fwww.webofscience.com%2Fwos%2Fwoscc%2Ffull-record%2FWOS:000893324200001","View Full Record in Web of Science")</f>
        <v>View Full Record in Web of Science</v>
      </c>
    </row>
    <row r="37" spans="1:72" x14ac:dyDescent="0.2">
      <c r="A37" t="s">
        <v>72</v>
      </c>
      <c r="B37" t="s">
        <v>1577</v>
      </c>
      <c r="C37" t="s">
        <v>74</v>
      </c>
      <c r="D37" t="s">
        <v>74</v>
      </c>
      <c r="E37" t="s">
        <v>74</v>
      </c>
      <c r="F37" t="s">
        <v>1578</v>
      </c>
      <c r="G37" t="s">
        <v>74</v>
      </c>
      <c r="H37" t="s">
        <v>74</v>
      </c>
      <c r="I37" t="s">
        <v>1579</v>
      </c>
      <c r="J37" t="s">
        <v>1580</v>
      </c>
      <c r="K37" t="s">
        <v>74</v>
      </c>
      <c r="L37" t="s">
        <v>74</v>
      </c>
      <c r="M37" t="s">
        <v>78</v>
      </c>
      <c r="N37" t="s">
        <v>79</v>
      </c>
      <c r="O37" t="s">
        <v>74</v>
      </c>
      <c r="P37" t="s">
        <v>74</v>
      </c>
      <c r="Q37" t="s">
        <v>74</v>
      </c>
      <c r="R37" t="s">
        <v>74</v>
      </c>
      <c r="S37" t="s">
        <v>74</v>
      </c>
      <c r="T37" t="s">
        <v>74</v>
      </c>
      <c r="U37" t="s">
        <v>1581</v>
      </c>
      <c r="V37" t="s">
        <v>1582</v>
      </c>
      <c r="W37" s="1" t="s">
        <v>1583</v>
      </c>
      <c r="X37" t="s">
        <v>84</v>
      </c>
      <c r="Y37" t="s">
        <v>1584</v>
      </c>
      <c r="Z37" t="s">
        <v>1585</v>
      </c>
      <c r="AA37" t="s">
        <v>74</v>
      </c>
      <c r="AB37" t="s">
        <v>1586</v>
      </c>
      <c r="AC37" t="s">
        <v>74</v>
      </c>
      <c r="AD37" t="s">
        <v>74</v>
      </c>
      <c r="AE37" t="s">
        <v>74</v>
      </c>
      <c r="AF37" t="s">
        <v>1587</v>
      </c>
      <c r="AG37">
        <v>45</v>
      </c>
      <c r="AH37">
        <v>0</v>
      </c>
      <c r="AI37">
        <v>0</v>
      </c>
      <c r="AJ37">
        <v>0</v>
      </c>
      <c r="AK37">
        <v>2</v>
      </c>
      <c r="AL37" t="s">
        <v>645</v>
      </c>
      <c r="AM37" t="s">
        <v>547</v>
      </c>
      <c r="AN37" t="s">
        <v>646</v>
      </c>
      <c r="AO37" t="s">
        <v>1588</v>
      </c>
      <c r="AP37" t="s">
        <v>1589</v>
      </c>
      <c r="AQ37" t="s">
        <v>74</v>
      </c>
      <c r="AR37" t="s">
        <v>1590</v>
      </c>
      <c r="AS37" t="s">
        <v>1591</v>
      </c>
      <c r="AT37" t="s">
        <v>1592</v>
      </c>
      <c r="AU37">
        <v>2022</v>
      </c>
      <c r="AV37">
        <v>2022</v>
      </c>
      <c r="AW37" t="s">
        <v>74</v>
      </c>
      <c r="AX37" t="s">
        <v>74</v>
      </c>
      <c r="AY37" t="s">
        <v>74</v>
      </c>
      <c r="AZ37" t="s">
        <v>74</v>
      </c>
      <c r="BA37" t="s">
        <v>74</v>
      </c>
      <c r="BB37" t="s">
        <v>74</v>
      </c>
      <c r="BC37" t="s">
        <v>74</v>
      </c>
      <c r="BD37">
        <v>7436651</v>
      </c>
      <c r="BE37" t="s">
        <v>1593</v>
      </c>
      <c r="BF37" t="str">
        <f>HYPERLINK("http://dx.doi.org/10.1155/2022/7436651","http://dx.doi.org/10.1155/2022/7436651")</f>
        <v>http://dx.doi.org/10.1155/2022/7436651</v>
      </c>
      <c r="BG37" t="s">
        <v>74</v>
      </c>
      <c r="BH37" t="s">
        <v>74</v>
      </c>
      <c r="BI37">
        <v>7</v>
      </c>
      <c r="BJ37" t="s">
        <v>1594</v>
      </c>
      <c r="BK37" t="s">
        <v>187</v>
      </c>
      <c r="BL37" t="s">
        <v>1594</v>
      </c>
      <c r="BM37" t="s">
        <v>1595</v>
      </c>
      <c r="BN37">
        <v>35880197</v>
      </c>
      <c r="BO37" t="s">
        <v>104</v>
      </c>
      <c r="BP37" t="s">
        <v>74</v>
      </c>
      <c r="BQ37" t="s">
        <v>74</v>
      </c>
      <c r="BR37" t="s">
        <v>105</v>
      </c>
      <c r="BS37" t="s">
        <v>1596</v>
      </c>
      <c r="BT37" t="str">
        <f>HYPERLINK("https%3A%2F%2Fwww.webofscience.com%2Fwos%2Fwoscc%2Ffull-record%2FWOS:000831908400001","View Full Record in Web of Science")</f>
        <v>View Full Record in Web of Science</v>
      </c>
    </row>
    <row r="38" spans="1:72" x14ac:dyDescent="0.2">
      <c r="A38" t="s">
        <v>72</v>
      </c>
      <c r="B38" t="s">
        <v>4584</v>
      </c>
      <c r="C38" t="s">
        <v>74</v>
      </c>
      <c r="D38" t="s">
        <v>74</v>
      </c>
      <c r="E38" t="s">
        <v>74</v>
      </c>
      <c r="F38" t="s">
        <v>4585</v>
      </c>
      <c r="G38" t="s">
        <v>74</v>
      </c>
      <c r="H38" t="s">
        <v>74</v>
      </c>
      <c r="I38" t="s">
        <v>4586</v>
      </c>
      <c r="J38" t="s">
        <v>4587</v>
      </c>
      <c r="K38" t="s">
        <v>74</v>
      </c>
      <c r="L38" t="s">
        <v>74</v>
      </c>
      <c r="M38" t="s">
        <v>78</v>
      </c>
      <c r="N38" t="s">
        <v>79</v>
      </c>
      <c r="O38" t="s">
        <v>74</v>
      </c>
      <c r="P38" t="s">
        <v>74</v>
      </c>
      <c r="Q38" t="s">
        <v>74</v>
      </c>
      <c r="R38" t="s">
        <v>74</v>
      </c>
      <c r="S38" t="s">
        <v>74</v>
      </c>
      <c r="T38" t="s">
        <v>4588</v>
      </c>
      <c r="U38" t="s">
        <v>74</v>
      </c>
      <c r="V38" t="s">
        <v>4589</v>
      </c>
      <c r="W38" s="1" t="s">
        <v>4590</v>
      </c>
      <c r="X38" t="s">
        <v>84</v>
      </c>
      <c r="Y38" t="s">
        <v>4591</v>
      </c>
      <c r="Z38" t="s">
        <v>4592</v>
      </c>
      <c r="AA38" t="s">
        <v>74</v>
      </c>
      <c r="AB38" t="s">
        <v>74</v>
      </c>
      <c r="AC38" t="s">
        <v>74</v>
      </c>
      <c r="AD38" t="s">
        <v>74</v>
      </c>
      <c r="AE38" t="s">
        <v>74</v>
      </c>
      <c r="AF38" t="s">
        <v>4593</v>
      </c>
      <c r="AG38">
        <v>42</v>
      </c>
      <c r="AH38">
        <v>0</v>
      </c>
      <c r="AI38">
        <v>0</v>
      </c>
      <c r="AJ38">
        <v>0</v>
      </c>
      <c r="AK38">
        <v>0</v>
      </c>
      <c r="AL38" t="s">
        <v>4594</v>
      </c>
      <c r="AM38" t="s">
        <v>847</v>
      </c>
      <c r="AN38" t="s">
        <v>4595</v>
      </c>
      <c r="AO38" t="s">
        <v>4596</v>
      </c>
      <c r="AP38" t="s">
        <v>74</v>
      </c>
      <c r="AQ38" t="s">
        <v>74</v>
      </c>
      <c r="AR38" t="s">
        <v>4597</v>
      </c>
      <c r="AS38" t="s">
        <v>4598</v>
      </c>
      <c r="AT38" t="s">
        <v>74</v>
      </c>
      <c r="AU38">
        <v>2022</v>
      </c>
      <c r="AV38" t="s">
        <v>74</v>
      </c>
      <c r="AW38">
        <v>176</v>
      </c>
      <c r="AX38" t="s">
        <v>74</v>
      </c>
      <c r="AY38" t="s">
        <v>74</v>
      </c>
      <c r="AZ38" t="s">
        <v>74</v>
      </c>
      <c r="BA38" t="s">
        <v>74</v>
      </c>
      <c r="BB38">
        <v>151</v>
      </c>
      <c r="BC38">
        <v>168</v>
      </c>
      <c r="BD38" t="s">
        <v>74</v>
      </c>
      <c r="BE38" t="s">
        <v>74</v>
      </c>
      <c r="BF38" t="s">
        <v>74</v>
      </c>
      <c r="BG38" t="s">
        <v>74</v>
      </c>
      <c r="BH38" t="s">
        <v>74</v>
      </c>
      <c r="BI38">
        <v>18</v>
      </c>
      <c r="BJ38" t="s">
        <v>2070</v>
      </c>
      <c r="BK38" t="s">
        <v>187</v>
      </c>
      <c r="BL38" t="s">
        <v>1960</v>
      </c>
      <c r="BM38" t="s">
        <v>4599</v>
      </c>
      <c r="BN38" t="s">
        <v>74</v>
      </c>
      <c r="BO38" t="s">
        <v>74</v>
      </c>
      <c r="BP38" t="s">
        <v>74</v>
      </c>
      <c r="BQ38" t="s">
        <v>74</v>
      </c>
      <c r="BR38" t="s">
        <v>105</v>
      </c>
      <c r="BS38" t="s">
        <v>4600</v>
      </c>
      <c r="BT38" t="str">
        <f>HYPERLINK("https%3A%2F%2Fwww.webofscience.com%2Fwos%2Fwoscc%2Ffull-record%2FWOS:000880122100011","View Full Record in Web of Science")</f>
        <v>View Full Record in Web of Science</v>
      </c>
    </row>
    <row r="39" spans="1:72" x14ac:dyDescent="0.2">
      <c r="A39" t="s">
        <v>72</v>
      </c>
      <c r="B39" t="s">
        <v>5982</v>
      </c>
      <c r="C39" t="s">
        <v>74</v>
      </c>
      <c r="D39" t="s">
        <v>74</v>
      </c>
      <c r="E39" t="s">
        <v>74</v>
      </c>
      <c r="F39" t="s">
        <v>5983</v>
      </c>
      <c r="G39" t="s">
        <v>74</v>
      </c>
      <c r="H39" t="s">
        <v>74</v>
      </c>
      <c r="I39" t="s">
        <v>5984</v>
      </c>
      <c r="J39" t="s">
        <v>4383</v>
      </c>
      <c r="K39" t="s">
        <v>74</v>
      </c>
      <c r="L39" t="s">
        <v>74</v>
      </c>
      <c r="M39" t="s">
        <v>78</v>
      </c>
      <c r="N39" t="s">
        <v>79</v>
      </c>
      <c r="O39" t="s">
        <v>74</v>
      </c>
      <c r="P39" t="s">
        <v>74</v>
      </c>
      <c r="Q39" t="s">
        <v>74</v>
      </c>
      <c r="R39" t="s">
        <v>74</v>
      </c>
      <c r="S39" t="s">
        <v>74</v>
      </c>
      <c r="T39" t="s">
        <v>5985</v>
      </c>
      <c r="U39" t="s">
        <v>74</v>
      </c>
      <c r="V39" t="s">
        <v>5986</v>
      </c>
      <c r="W39" s="1" t="s">
        <v>5987</v>
      </c>
      <c r="X39" t="s">
        <v>5988</v>
      </c>
      <c r="Y39" t="s">
        <v>5989</v>
      </c>
      <c r="Z39" t="s">
        <v>5990</v>
      </c>
      <c r="AA39" t="s">
        <v>74</v>
      </c>
      <c r="AB39" t="s">
        <v>74</v>
      </c>
      <c r="AC39" t="s">
        <v>5991</v>
      </c>
      <c r="AD39" t="s">
        <v>5991</v>
      </c>
      <c r="AE39" t="s">
        <v>5992</v>
      </c>
      <c r="AF39" t="s">
        <v>5993</v>
      </c>
      <c r="AG39">
        <v>46</v>
      </c>
      <c r="AH39">
        <v>0</v>
      </c>
      <c r="AI39">
        <v>0</v>
      </c>
      <c r="AJ39">
        <v>1</v>
      </c>
      <c r="AK39">
        <v>1</v>
      </c>
      <c r="AL39" t="s">
        <v>3767</v>
      </c>
      <c r="AM39" t="s">
        <v>3768</v>
      </c>
      <c r="AN39" t="s">
        <v>3769</v>
      </c>
      <c r="AO39" t="s">
        <v>4395</v>
      </c>
      <c r="AP39" t="s">
        <v>4396</v>
      </c>
      <c r="AQ39" t="s">
        <v>74</v>
      </c>
      <c r="AR39" t="s">
        <v>4383</v>
      </c>
      <c r="AS39" t="s">
        <v>4397</v>
      </c>
      <c r="AT39" t="s">
        <v>5994</v>
      </c>
      <c r="AU39">
        <v>2023</v>
      </c>
      <c r="AV39">
        <v>589</v>
      </c>
      <c r="AW39">
        <v>2</v>
      </c>
      <c r="AX39" t="s">
        <v>74</v>
      </c>
      <c r="AY39" t="s">
        <v>74</v>
      </c>
      <c r="AZ39" t="s">
        <v>74</v>
      </c>
      <c r="BA39" t="s">
        <v>74</v>
      </c>
      <c r="BB39">
        <v>137</v>
      </c>
      <c r="BC39">
        <v>178</v>
      </c>
      <c r="BD39" t="s">
        <v>74</v>
      </c>
      <c r="BE39" t="s">
        <v>5995</v>
      </c>
      <c r="BF39" t="str">
        <f>HYPERLINK("http://dx.doi.org/10.11646/phytotaxa.589.2.4","http://dx.doi.org/10.11646/phytotaxa.589.2.4")</f>
        <v>http://dx.doi.org/10.11646/phytotaxa.589.2.4</v>
      </c>
      <c r="BG39" t="s">
        <v>74</v>
      </c>
      <c r="BH39" t="s">
        <v>74</v>
      </c>
      <c r="BI39">
        <v>42</v>
      </c>
      <c r="BJ39" t="s">
        <v>3068</v>
      </c>
      <c r="BK39" t="s">
        <v>102</v>
      </c>
      <c r="BL39" t="s">
        <v>3068</v>
      </c>
      <c r="BM39" t="s">
        <v>5996</v>
      </c>
      <c r="BN39" t="s">
        <v>74</v>
      </c>
      <c r="BO39" t="s">
        <v>74</v>
      </c>
      <c r="BP39" t="s">
        <v>74</v>
      </c>
      <c r="BQ39" t="s">
        <v>74</v>
      </c>
      <c r="BR39" t="s">
        <v>105</v>
      </c>
      <c r="BS39" t="s">
        <v>5997</v>
      </c>
      <c r="BT39" t="str">
        <f>HYPERLINK("https%3A%2F%2Fwww.webofscience.com%2Fwos%2Fwoscc%2Ffull-record%2FWOS:000967834100004","View Full Record in Web of Science")</f>
        <v>View Full Record in Web of Science</v>
      </c>
    </row>
    <row r="40" spans="1:72" x14ac:dyDescent="0.2">
      <c r="A40" t="s">
        <v>72</v>
      </c>
      <c r="B40" t="s">
        <v>2304</v>
      </c>
      <c r="C40" t="s">
        <v>74</v>
      </c>
      <c r="D40" t="s">
        <v>74</v>
      </c>
      <c r="E40" t="s">
        <v>74</v>
      </c>
      <c r="F40" t="s">
        <v>2305</v>
      </c>
      <c r="G40" t="s">
        <v>74</v>
      </c>
      <c r="H40" t="s">
        <v>74</v>
      </c>
      <c r="I40" t="s">
        <v>2306</v>
      </c>
      <c r="J40" t="s">
        <v>2307</v>
      </c>
      <c r="K40" t="s">
        <v>74</v>
      </c>
      <c r="L40" t="s">
        <v>74</v>
      </c>
      <c r="M40" t="s">
        <v>1517</v>
      </c>
      <c r="N40" t="s">
        <v>79</v>
      </c>
      <c r="O40" t="s">
        <v>74</v>
      </c>
      <c r="P40" t="s">
        <v>74</v>
      </c>
      <c r="Q40" t="s">
        <v>74</v>
      </c>
      <c r="R40" t="s">
        <v>74</v>
      </c>
      <c r="S40" t="s">
        <v>74</v>
      </c>
      <c r="T40" t="s">
        <v>2308</v>
      </c>
      <c r="U40" t="s">
        <v>74</v>
      </c>
      <c r="V40" t="s">
        <v>2309</v>
      </c>
      <c r="W40" s="1" t="s">
        <v>2310</v>
      </c>
      <c r="X40" t="s">
        <v>84</v>
      </c>
      <c r="Y40" t="s">
        <v>2311</v>
      </c>
      <c r="Z40" t="s">
        <v>2312</v>
      </c>
      <c r="AA40" t="s">
        <v>74</v>
      </c>
      <c r="AB40" t="s">
        <v>74</v>
      </c>
      <c r="AC40" t="s">
        <v>74</v>
      </c>
      <c r="AD40" t="s">
        <v>74</v>
      </c>
      <c r="AE40" t="s">
        <v>74</v>
      </c>
      <c r="AF40" t="s">
        <v>2313</v>
      </c>
      <c r="AG40">
        <v>34</v>
      </c>
      <c r="AH40">
        <v>0</v>
      </c>
      <c r="AI40">
        <v>0</v>
      </c>
      <c r="AJ40">
        <v>0</v>
      </c>
      <c r="AK40">
        <v>0</v>
      </c>
      <c r="AL40" t="s">
        <v>2314</v>
      </c>
      <c r="AM40" t="s">
        <v>2315</v>
      </c>
      <c r="AN40" t="s">
        <v>2316</v>
      </c>
      <c r="AO40" t="s">
        <v>2317</v>
      </c>
      <c r="AP40" t="s">
        <v>74</v>
      </c>
      <c r="AQ40" t="s">
        <v>74</v>
      </c>
      <c r="AR40" t="s">
        <v>2318</v>
      </c>
      <c r="AS40" t="s">
        <v>2319</v>
      </c>
      <c r="AT40" t="s">
        <v>853</v>
      </c>
      <c r="AU40">
        <v>2022</v>
      </c>
      <c r="AV40">
        <v>10</v>
      </c>
      <c r="AW40" t="s">
        <v>74</v>
      </c>
      <c r="AX40" t="s">
        <v>74</v>
      </c>
      <c r="AY40" t="s">
        <v>74</v>
      </c>
      <c r="AZ40" t="s">
        <v>74</v>
      </c>
      <c r="BA40" t="s">
        <v>74</v>
      </c>
      <c r="BB40" t="s">
        <v>74</v>
      </c>
      <c r="BC40" t="s">
        <v>74</v>
      </c>
      <c r="BD40" t="s">
        <v>74</v>
      </c>
      <c r="BE40" t="s">
        <v>2320</v>
      </c>
      <c r="BF40" t="str">
        <f>HYPERLINK("http://dx.doi.org/10.31057/2314.3908.v10.37312","http://dx.doi.org/10.31057/2314.3908.v10.37312")</f>
        <v>http://dx.doi.org/10.31057/2314.3908.v10.37312</v>
      </c>
      <c r="BG40" t="s">
        <v>74</v>
      </c>
      <c r="BH40" t="s">
        <v>74</v>
      </c>
      <c r="BI40">
        <v>20</v>
      </c>
      <c r="BJ40" t="s">
        <v>2109</v>
      </c>
      <c r="BK40" t="s">
        <v>187</v>
      </c>
      <c r="BL40" t="s">
        <v>2109</v>
      </c>
      <c r="BM40" t="s">
        <v>2321</v>
      </c>
      <c r="BN40" t="s">
        <v>74</v>
      </c>
      <c r="BO40" t="s">
        <v>190</v>
      </c>
      <c r="BP40" t="s">
        <v>74</v>
      </c>
      <c r="BQ40" t="s">
        <v>74</v>
      </c>
      <c r="BR40" t="s">
        <v>105</v>
      </c>
      <c r="BS40" t="s">
        <v>2322</v>
      </c>
      <c r="BT40" t="str">
        <f>HYPERLINK("https%3A%2F%2Fwww.webofscience.com%2Fwos%2Fwoscc%2Ffull-record%2FWOS:000798433700001","View Full Record in Web of Science")</f>
        <v>View Full Record in Web of Science</v>
      </c>
    </row>
    <row r="41" spans="1:72" x14ac:dyDescent="0.2">
      <c r="A41" t="s">
        <v>72</v>
      </c>
      <c r="B41" t="s">
        <v>5570</v>
      </c>
      <c r="C41" t="s">
        <v>74</v>
      </c>
      <c r="D41" t="s">
        <v>74</v>
      </c>
      <c r="E41" t="s">
        <v>74</v>
      </c>
      <c r="F41" t="s">
        <v>5571</v>
      </c>
      <c r="G41" t="s">
        <v>74</v>
      </c>
      <c r="H41" t="s">
        <v>74</v>
      </c>
      <c r="I41" t="s">
        <v>5572</v>
      </c>
      <c r="J41" t="s">
        <v>836</v>
      </c>
      <c r="K41" t="s">
        <v>74</v>
      </c>
      <c r="L41" t="s">
        <v>74</v>
      </c>
      <c r="M41" t="s">
        <v>78</v>
      </c>
      <c r="N41" t="s">
        <v>79</v>
      </c>
      <c r="O41" t="s">
        <v>74</v>
      </c>
      <c r="P41" t="s">
        <v>74</v>
      </c>
      <c r="Q41" t="s">
        <v>74</v>
      </c>
      <c r="R41" t="s">
        <v>74</v>
      </c>
      <c r="S41" t="s">
        <v>74</v>
      </c>
      <c r="T41" t="s">
        <v>5573</v>
      </c>
      <c r="U41" t="s">
        <v>5574</v>
      </c>
      <c r="V41" t="s">
        <v>5575</v>
      </c>
      <c r="W41" s="1" t="s">
        <v>5576</v>
      </c>
      <c r="X41" t="s">
        <v>5577</v>
      </c>
      <c r="Y41" t="s">
        <v>5578</v>
      </c>
      <c r="Z41" t="s">
        <v>5579</v>
      </c>
      <c r="AA41" t="s">
        <v>5580</v>
      </c>
      <c r="AB41" t="s">
        <v>5581</v>
      </c>
      <c r="AC41" t="s">
        <v>5582</v>
      </c>
      <c r="AD41" t="s">
        <v>5583</v>
      </c>
      <c r="AE41" t="s">
        <v>5584</v>
      </c>
      <c r="AF41" t="s">
        <v>5585</v>
      </c>
      <c r="AG41">
        <v>74</v>
      </c>
      <c r="AH41">
        <v>0</v>
      </c>
      <c r="AI41">
        <v>0</v>
      </c>
      <c r="AJ41">
        <v>0</v>
      </c>
      <c r="AK41">
        <v>0</v>
      </c>
      <c r="AL41" t="s">
        <v>836</v>
      </c>
      <c r="AM41" t="s">
        <v>847</v>
      </c>
      <c r="AN41" t="s">
        <v>848</v>
      </c>
      <c r="AO41" t="s">
        <v>849</v>
      </c>
      <c r="AP41" t="s">
        <v>850</v>
      </c>
      <c r="AQ41" t="s">
        <v>74</v>
      </c>
      <c r="AR41" t="s">
        <v>851</v>
      </c>
      <c r="AS41" t="s">
        <v>852</v>
      </c>
      <c r="AT41" t="s">
        <v>853</v>
      </c>
      <c r="AU41">
        <v>2022</v>
      </c>
      <c r="AV41">
        <v>70</v>
      </c>
      <c r="AW41" t="s">
        <v>74</v>
      </c>
      <c r="AX41" t="s">
        <v>74</v>
      </c>
      <c r="AY41" t="s">
        <v>74</v>
      </c>
      <c r="AZ41" t="s">
        <v>74</v>
      </c>
      <c r="BA41" t="s">
        <v>74</v>
      </c>
      <c r="BB41">
        <v>132</v>
      </c>
      <c r="BC41">
        <v>148</v>
      </c>
      <c r="BD41" t="s">
        <v>74</v>
      </c>
      <c r="BE41" t="s">
        <v>5586</v>
      </c>
      <c r="BF41" t="str">
        <f>HYPERLINK("http://dx.doi.org/10.15517/rev.biol.trop..v70i1.47504","http://dx.doi.org/10.15517/rev.biol.trop..v70i1.47504")</f>
        <v>http://dx.doi.org/10.15517/rev.biol.trop..v70i1.47504</v>
      </c>
      <c r="BG41" t="s">
        <v>74</v>
      </c>
      <c r="BH41" t="s">
        <v>74</v>
      </c>
      <c r="BI41">
        <v>17</v>
      </c>
      <c r="BJ41" t="s">
        <v>855</v>
      </c>
      <c r="BK41" t="s">
        <v>102</v>
      </c>
      <c r="BL41" t="s">
        <v>856</v>
      </c>
      <c r="BM41" t="s">
        <v>5587</v>
      </c>
      <c r="BN41" t="s">
        <v>74</v>
      </c>
      <c r="BO41" t="s">
        <v>1111</v>
      </c>
      <c r="BP41" t="s">
        <v>74</v>
      </c>
      <c r="BQ41" t="s">
        <v>74</v>
      </c>
      <c r="BR41" t="s">
        <v>105</v>
      </c>
      <c r="BS41" t="s">
        <v>5588</v>
      </c>
      <c r="BT41" t="str">
        <f>HYPERLINK("https%3A%2F%2Fwww.webofscience.com%2Fwos%2Fwoscc%2Ffull-record%2FWOS:000819933100001","View Full Record in Web of Science")</f>
        <v>View Full Record in Web of Science</v>
      </c>
    </row>
    <row r="42" spans="1:72" x14ac:dyDescent="0.2">
      <c r="A42" t="s">
        <v>72</v>
      </c>
      <c r="B42" t="s">
        <v>2910</v>
      </c>
      <c r="C42" t="s">
        <v>74</v>
      </c>
      <c r="D42" t="s">
        <v>74</v>
      </c>
      <c r="E42" t="s">
        <v>74</v>
      </c>
      <c r="F42" t="s">
        <v>2911</v>
      </c>
      <c r="G42" t="s">
        <v>74</v>
      </c>
      <c r="H42" t="s">
        <v>74</v>
      </c>
      <c r="I42" t="s">
        <v>2912</v>
      </c>
      <c r="J42" t="s">
        <v>77</v>
      </c>
      <c r="K42" t="s">
        <v>74</v>
      </c>
      <c r="L42" t="s">
        <v>74</v>
      </c>
      <c r="M42" t="s">
        <v>78</v>
      </c>
      <c r="N42" t="s">
        <v>79</v>
      </c>
      <c r="O42" t="s">
        <v>74</v>
      </c>
      <c r="P42" t="s">
        <v>74</v>
      </c>
      <c r="Q42" t="s">
        <v>74</v>
      </c>
      <c r="R42" t="s">
        <v>74</v>
      </c>
      <c r="S42" t="s">
        <v>74</v>
      </c>
      <c r="T42" t="s">
        <v>2913</v>
      </c>
      <c r="U42" t="s">
        <v>2914</v>
      </c>
      <c r="V42" t="s">
        <v>2915</v>
      </c>
      <c r="W42" s="1" t="s">
        <v>2916</v>
      </c>
      <c r="X42" t="s">
        <v>2917</v>
      </c>
      <c r="Y42" t="s">
        <v>2918</v>
      </c>
      <c r="Z42" t="s">
        <v>2919</v>
      </c>
      <c r="AA42" t="s">
        <v>2920</v>
      </c>
      <c r="AB42" t="s">
        <v>2921</v>
      </c>
      <c r="AC42" t="s">
        <v>2922</v>
      </c>
      <c r="AD42" t="s">
        <v>2923</v>
      </c>
      <c r="AE42" t="s">
        <v>2924</v>
      </c>
      <c r="AF42" t="s">
        <v>2925</v>
      </c>
      <c r="AG42">
        <v>45</v>
      </c>
      <c r="AH42">
        <v>0</v>
      </c>
      <c r="AI42">
        <v>0</v>
      </c>
      <c r="AJ42">
        <v>5</v>
      </c>
      <c r="AK42">
        <v>7</v>
      </c>
      <c r="AL42" t="s">
        <v>93</v>
      </c>
      <c r="AM42" t="s">
        <v>94</v>
      </c>
      <c r="AN42" t="s">
        <v>95</v>
      </c>
      <c r="AO42" t="s">
        <v>74</v>
      </c>
      <c r="AP42" t="s">
        <v>96</v>
      </c>
      <c r="AQ42" t="s">
        <v>74</v>
      </c>
      <c r="AR42" t="s">
        <v>97</v>
      </c>
      <c r="AS42" t="s">
        <v>98</v>
      </c>
      <c r="AT42" t="s">
        <v>1753</v>
      </c>
      <c r="AU42">
        <v>2022</v>
      </c>
      <c r="AV42">
        <v>14</v>
      </c>
      <c r="AW42">
        <v>19</v>
      </c>
      <c r="AX42" t="s">
        <v>74</v>
      </c>
      <c r="AY42" t="s">
        <v>74</v>
      </c>
      <c r="AZ42" t="s">
        <v>74</v>
      </c>
      <c r="BA42" t="s">
        <v>74</v>
      </c>
      <c r="BB42" t="s">
        <v>74</v>
      </c>
      <c r="BC42" t="s">
        <v>74</v>
      </c>
      <c r="BD42">
        <v>3938</v>
      </c>
      <c r="BE42" t="s">
        <v>2926</v>
      </c>
      <c r="BF42" t="str">
        <f>HYPERLINK("http://dx.doi.org/10.3390/polym14193938","http://dx.doi.org/10.3390/polym14193938")</f>
        <v>http://dx.doi.org/10.3390/polym14193938</v>
      </c>
      <c r="BG42" t="s">
        <v>74</v>
      </c>
      <c r="BH42" t="s">
        <v>74</v>
      </c>
      <c r="BI42">
        <v>17</v>
      </c>
      <c r="BJ42" t="s">
        <v>101</v>
      </c>
      <c r="BK42" t="s">
        <v>102</v>
      </c>
      <c r="BL42" t="s">
        <v>101</v>
      </c>
      <c r="BM42" t="s">
        <v>2927</v>
      </c>
      <c r="BN42">
        <v>36235886</v>
      </c>
      <c r="BO42" t="s">
        <v>104</v>
      </c>
      <c r="BP42" t="s">
        <v>74</v>
      </c>
      <c r="BQ42" t="s">
        <v>74</v>
      </c>
      <c r="BR42" t="s">
        <v>105</v>
      </c>
      <c r="BS42" t="s">
        <v>2928</v>
      </c>
      <c r="BT42" t="str">
        <f>HYPERLINK("https%3A%2F%2Fwww.webofscience.com%2Fwos%2Fwoscc%2Ffull-record%2FWOS:000867922100001","View Full Record in Web of Science")</f>
        <v>View Full Record in Web of Science</v>
      </c>
    </row>
    <row r="43" spans="1:72" x14ac:dyDescent="0.2">
      <c r="A43" t="s">
        <v>72</v>
      </c>
      <c r="B43" t="s">
        <v>1513</v>
      </c>
      <c r="C43" t="s">
        <v>74</v>
      </c>
      <c r="D43" t="s">
        <v>74</v>
      </c>
      <c r="E43" t="s">
        <v>74</v>
      </c>
      <c r="F43" t="s">
        <v>1514</v>
      </c>
      <c r="G43" t="s">
        <v>74</v>
      </c>
      <c r="H43" t="s">
        <v>74</v>
      </c>
      <c r="I43" t="s">
        <v>1515</v>
      </c>
      <c r="J43" t="s">
        <v>1516</v>
      </c>
      <c r="K43" t="s">
        <v>74</v>
      </c>
      <c r="L43" t="s">
        <v>74</v>
      </c>
      <c r="M43" t="s">
        <v>1517</v>
      </c>
      <c r="N43" t="s">
        <v>1518</v>
      </c>
      <c r="O43" t="s">
        <v>74</v>
      </c>
      <c r="P43" t="s">
        <v>74</v>
      </c>
      <c r="Q43" t="s">
        <v>74</v>
      </c>
      <c r="R43" t="s">
        <v>74</v>
      </c>
      <c r="S43" t="s">
        <v>74</v>
      </c>
      <c r="T43" t="s">
        <v>74</v>
      </c>
      <c r="U43" t="s">
        <v>74</v>
      </c>
      <c r="V43" t="s">
        <v>74</v>
      </c>
      <c r="W43" s="1" t="s">
        <v>1519</v>
      </c>
      <c r="X43" t="s">
        <v>84</v>
      </c>
      <c r="Y43" t="s">
        <v>1520</v>
      </c>
      <c r="Z43" t="s">
        <v>74</v>
      </c>
      <c r="AA43" t="s">
        <v>74</v>
      </c>
      <c r="AB43" t="s">
        <v>74</v>
      </c>
      <c r="AC43" t="s">
        <v>74</v>
      </c>
      <c r="AD43" t="s">
        <v>74</v>
      </c>
      <c r="AE43" t="s">
        <v>74</v>
      </c>
      <c r="AF43" t="s">
        <v>1521</v>
      </c>
      <c r="AG43">
        <v>4</v>
      </c>
      <c r="AH43">
        <v>0</v>
      </c>
      <c r="AI43">
        <v>0</v>
      </c>
      <c r="AJ43">
        <v>0</v>
      </c>
      <c r="AK43">
        <v>0</v>
      </c>
      <c r="AL43" t="s">
        <v>1522</v>
      </c>
      <c r="AM43" t="s">
        <v>410</v>
      </c>
      <c r="AN43" t="s">
        <v>1523</v>
      </c>
      <c r="AO43" t="s">
        <v>1524</v>
      </c>
      <c r="AP43" t="s">
        <v>1525</v>
      </c>
      <c r="AQ43" t="s">
        <v>74</v>
      </c>
      <c r="AR43" t="s">
        <v>1526</v>
      </c>
      <c r="AS43" t="s">
        <v>1526</v>
      </c>
      <c r="AT43" t="s">
        <v>1527</v>
      </c>
      <c r="AU43">
        <v>2023</v>
      </c>
      <c r="AV43" t="s">
        <v>74</v>
      </c>
      <c r="AW43">
        <v>21</v>
      </c>
      <c r="AX43" t="s">
        <v>74</v>
      </c>
      <c r="AY43" t="s">
        <v>74</v>
      </c>
      <c r="AZ43" t="s">
        <v>74</v>
      </c>
      <c r="BA43" t="s">
        <v>74</v>
      </c>
      <c r="BB43">
        <v>205</v>
      </c>
      <c r="BC43">
        <v>209</v>
      </c>
      <c r="BD43" t="s">
        <v>74</v>
      </c>
      <c r="BE43" t="s">
        <v>1528</v>
      </c>
      <c r="BF43" t="str">
        <f>HYPERLINK("http://dx.doi.org/10.17533/udea.trahs.n21a11","http://dx.doi.org/10.17533/udea.trahs.n21a11")</f>
        <v>http://dx.doi.org/10.17533/udea.trahs.n21a11</v>
      </c>
      <c r="BG43" t="s">
        <v>74</v>
      </c>
      <c r="BH43" t="s">
        <v>74</v>
      </c>
      <c r="BI43">
        <v>5</v>
      </c>
      <c r="BJ43" t="s">
        <v>1529</v>
      </c>
      <c r="BK43" t="s">
        <v>187</v>
      </c>
      <c r="BL43" t="s">
        <v>1530</v>
      </c>
      <c r="BM43" t="s">
        <v>1531</v>
      </c>
      <c r="BN43" t="s">
        <v>74</v>
      </c>
      <c r="BO43" t="s">
        <v>419</v>
      </c>
      <c r="BP43" t="s">
        <v>74</v>
      </c>
      <c r="BQ43" t="s">
        <v>74</v>
      </c>
      <c r="BR43" t="s">
        <v>105</v>
      </c>
      <c r="BS43" t="s">
        <v>1532</v>
      </c>
      <c r="BT43" t="str">
        <f>HYPERLINK("https%3A%2F%2Fwww.webofscience.com%2Fwos%2Fwoscc%2Ffull-record%2FWOS:000933769500011","View Full Record in Web of Science")</f>
        <v>View Full Record in Web of Science</v>
      </c>
    </row>
    <row r="44" spans="1:72" x14ac:dyDescent="0.2">
      <c r="A44" t="s">
        <v>72</v>
      </c>
      <c r="B44" t="s">
        <v>4704</v>
      </c>
      <c r="C44" t="s">
        <v>74</v>
      </c>
      <c r="D44" t="s">
        <v>74</v>
      </c>
      <c r="E44" t="s">
        <v>74</v>
      </c>
      <c r="F44" t="s">
        <v>4705</v>
      </c>
      <c r="G44" t="s">
        <v>74</v>
      </c>
      <c r="H44" t="s">
        <v>74</v>
      </c>
      <c r="I44" t="s">
        <v>4706</v>
      </c>
      <c r="J44" t="s">
        <v>4707</v>
      </c>
      <c r="K44" t="s">
        <v>74</v>
      </c>
      <c r="L44" t="s">
        <v>74</v>
      </c>
      <c r="M44" t="s">
        <v>78</v>
      </c>
      <c r="N44" t="s">
        <v>2006</v>
      </c>
      <c r="O44" t="s">
        <v>74</v>
      </c>
      <c r="P44" t="s">
        <v>74</v>
      </c>
      <c r="Q44" t="s">
        <v>74</v>
      </c>
      <c r="R44" t="s">
        <v>74</v>
      </c>
      <c r="S44" t="s">
        <v>74</v>
      </c>
      <c r="T44" t="s">
        <v>4708</v>
      </c>
      <c r="U44" t="s">
        <v>4709</v>
      </c>
      <c r="V44" t="s">
        <v>74</v>
      </c>
      <c r="W44" s="1" t="s">
        <v>4710</v>
      </c>
      <c r="X44" t="s">
        <v>4711</v>
      </c>
      <c r="Y44" t="s">
        <v>4712</v>
      </c>
      <c r="Z44" t="s">
        <v>4713</v>
      </c>
      <c r="AA44" t="s">
        <v>74</v>
      </c>
      <c r="AB44" t="s">
        <v>4714</v>
      </c>
      <c r="AC44" t="s">
        <v>74</v>
      </c>
      <c r="AD44" t="s">
        <v>74</v>
      </c>
      <c r="AE44" t="s">
        <v>74</v>
      </c>
      <c r="AF44" t="s">
        <v>4715</v>
      </c>
      <c r="AG44">
        <v>14</v>
      </c>
      <c r="AH44">
        <v>0</v>
      </c>
      <c r="AI44">
        <v>0</v>
      </c>
      <c r="AJ44">
        <v>1</v>
      </c>
      <c r="AK44">
        <v>2</v>
      </c>
      <c r="AL44" t="s">
        <v>263</v>
      </c>
      <c r="AM44" t="s">
        <v>264</v>
      </c>
      <c r="AN44" t="s">
        <v>265</v>
      </c>
      <c r="AO44" t="s">
        <v>4716</v>
      </c>
      <c r="AP44" t="s">
        <v>4717</v>
      </c>
      <c r="AQ44" t="s">
        <v>74</v>
      </c>
      <c r="AR44" t="s">
        <v>4718</v>
      </c>
      <c r="AS44" t="s">
        <v>4719</v>
      </c>
      <c r="AT44" t="s">
        <v>242</v>
      </c>
      <c r="AU44">
        <v>2022</v>
      </c>
      <c r="AV44">
        <v>214</v>
      </c>
      <c r="AW44" t="s">
        <v>74</v>
      </c>
      <c r="AX44" t="s">
        <v>74</v>
      </c>
      <c r="AY44" t="s">
        <v>74</v>
      </c>
      <c r="AZ44" t="s">
        <v>74</v>
      </c>
      <c r="BA44" t="s">
        <v>74</v>
      </c>
      <c r="BB44" t="s">
        <v>74</v>
      </c>
      <c r="BC44" t="s">
        <v>74</v>
      </c>
      <c r="BD44">
        <v>103793</v>
      </c>
      <c r="BE44" t="s">
        <v>4720</v>
      </c>
      <c r="BF44" t="str">
        <f>HYPERLINK("http://dx.doi.org/10.1016/j.gloplacha.2022.103793","http://dx.doi.org/10.1016/j.gloplacha.2022.103793")</f>
        <v>http://dx.doi.org/10.1016/j.gloplacha.2022.103793</v>
      </c>
      <c r="BG44" t="s">
        <v>74</v>
      </c>
      <c r="BH44" t="s">
        <v>1660</v>
      </c>
      <c r="BI44">
        <v>3</v>
      </c>
      <c r="BJ44" t="s">
        <v>4721</v>
      </c>
      <c r="BK44" t="s">
        <v>102</v>
      </c>
      <c r="BL44" t="s">
        <v>4722</v>
      </c>
      <c r="BM44" t="s">
        <v>4723</v>
      </c>
      <c r="BN44" t="s">
        <v>74</v>
      </c>
      <c r="BO44" t="s">
        <v>74</v>
      </c>
      <c r="BP44" t="s">
        <v>74</v>
      </c>
      <c r="BQ44" t="s">
        <v>74</v>
      </c>
      <c r="BR44" t="s">
        <v>105</v>
      </c>
      <c r="BS44" t="s">
        <v>4724</v>
      </c>
      <c r="BT44" t="str">
        <f>HYPERLINK("https%3A%2F%2Fwww.webofscience.com%2Fwos%2Fwoscc%2Ffull-record%2FWOS:000806593600004","View Full Record in Web of Science")</f>
        <v>View Full Record in Web of Science</v>
      </c>
    </row>
    <row r="45" spans="1:72" x14ac:dyDescent="0.2">
      <c r="A45" t="s">
        <v>72</v>
      </c>
      <c r="B45" t="s">
        <v>1554</v>
      </c>
      <c r="C45" t="s">
        <v>74</v>
      </c>
      <c r="D45" t="s">
        <v>74</v>
      </c>
      <c r="E45" t="s">
        <v>74</v>
      </c>
      <c r="F45" t="s">
        <v>1555</v>
      </c>
      <c r="G45" t="s">
        <v>74</v>
      </c>
      <c r="H45" t="s">
        <v>74</v>
      </c>
      <c r="I45" t="s">
        <v>1556</v>
      </c>
      <c r="J45" t="s">
        <v>1557</v>
      </c>
      <c r="K45" t="s">
        <v>74</v>
      </c>
      <c r="L45" t="s">
        <v>74</v>
      </c>
      <c r="M45" t="s">
        <v>78</v>
      </c>
      <c r="N45" t="s">
        <v>137</v>
      </c>
      <c r="O45" t="s">
        <v>74</v>
      </c>
      <c r="P45" t="s">
        <v>74</v>
      </c>
      <c r="Q45" t="s">
        <v>74</v>
      </c>
      <c r="R45" t="s">
        <v>74</v>
      </c>
      <c r="S45" t="s">
        <v>74</v>
      </c>
      <c r="T45" t="s">
        <v>1558</v>
      </c>
      <c r="U45" t="s">
        <v>74</v>
      </c>
      <c r="V45" t="s">
        <v>1559</v>
      </c>
      <c r="W45" s="1" t="s">
        <v>1560</v>
      </c>
      <c r="X45" t="s">
        <v>84</v>
      </c>
      <c r="Y45" t="s">
        <v>1561</v>
      </c>
      <c r="Z45" t="s">
        <v>1562</v>
      </c>
      <c r="AA45" t="s">
        <v>74</v>
      </c>
      <c r="AB45" t="s">
        <v>1563</v>
      </c>
      <c r="AC45" t="s">
        <v>74</v>
      </c>
      <c r="AD45" t="s">
        <v>74</v>
      </c>
      <c r="AE45" t="s">
        <v>74</v>
      </c>
      <c r="AF45" t="s">
        <v>1564</v>
      </c>
      <c r="AG45">
        <v>8</v>
      </c>
      <c r="AH45">
        <v>0</v>
      </c>
      <c r="AI45">
        <v>0</v>
      </c>
      <c r="AJ45">
        <v>0</v>
      </c>
      <c r="AK45">
        <v>0</v>
      </c>
      <c r="AL45" t="s">
        <v>1565</v>
      </c>
      <c r="AM45" t="s">
        <v>1566</v>
      </c>
      <c r="AN45" t="s">
        <v>1567</v>
      </c>
      <c r="AO45" t="s">
        <v>74</v>
      </c>
      <c r="AP45" t="s">
        <v>1568</v>
      </c>
      <c r="AQ45" t="s">
        <v>74</v>
      </c>
      <c r="AR45" t="s">
        <v>1569</v>
      </c>
      <c r="AS45" t="s">
        <v>1570</v>
      </c>
      <c r="AT45" t="s">
        <v>1571</v>
      </c>
      <c r="AU45">
        <v>2022</v>
      </c>
      <c r="AV45" t="s">
        <v>74</v>
      </c>
      <c r="AW45" t="s">
        <v>74</v>
      </c>
      <c r="AX45" t="s">
        <v>74</v>
      </c>
      <c r="AY45" t="s">
        <v>74</v>
      </c>
      <c r="AZ45" t="s">
        <v>74</v>
      </c>
      <c r="BA45" t="s">
        <v>74</v>
      </c>
      <c r="BB45" t="s">
        <v>74</v>
      </c>
      <c r="BC45" t="s">
        <v>74</v>
      </c>
      <c r="BD45" t="s">
        <v>74</v>
      </c>
      <c r="BE45" t="s">
        <v>1572</v>
      </c>
      <c r="BF45" t="str">
        <f>HYPERLINK("http://dx.doi.org/10.34172/ijhpm.2022.6974","http://dx.doi.org/10.34172/ijhpm.2022.6974")</f>
        <v>http://dx.doi.org/10.34172/ijhpm.2022.6974</v>
      </c>
      <c r="BG45" t="s">
        <v>74</v>
      </c>
      <c r="BH45" t="s">
        <v>626</v>
      </c>
      <c r="BI45">
        <v>8</v>
      </c>
      <c r="BJ45" t="s">
        <v>1573</v>
      </c>
      <c r="BK45" t="s">
        <v>298</v>
      </c>
      <c r="BL45" t="s">
        <v>1574</v>
      </c>
      <c r="BM45" t="s">
        <v>1575</v>
      </c>
      <c r="BN45">
        <v>35942964</v>
      </c>
      <c r="BO45" t="s">
        <v>104</v>
      </c>
      <c r="BP45" t="s">
        <v>74</v>
      </c>
      <c r="BQ45" t="s">
        <v>74</v>
      </c>
      <c r="BR45" t="s">
        <v>105</v>
      </c>
      <c r="BS45" t="s">
        <v>1576</v>
      </c>
      <c r="BT45" t="str">
        <f>HYPERLINK("https%3A%2F%2Fwww.webofscience.com%2Fwos%2Fwoscc%2Ffull-record%2FWOS:000810653700001","View Full Record in Web of Science")</f>
        <v>View Full Record in Web of Science</v>
      </c>
    </row>
    <row r="46" spans="1:72" x14ac:dyDescent="0.2">
      <c r="A46" t="s">
        <v>72</v>
      </c>
      <c r="B46" t="s">
        <v>1554</v>
      </c>
      <c r="C46" t="s">
        <v>74</v>
      </c>
      <c r="D46" t="s">
        <v>74</v>
      </c>
      <c r="E46" t="s">
        <v>74</v>
      </c>
      <c r="F46" t="s">
        <v>1555</v>
      </c>
      <c r="G46" t="s">
        <v>74</v>
      </c>
      <c r="H46" t="s">
        <v>74</v>
      </c>
      <c r="I46" t="s">
        <v>5936</v>
      </c>
      <c r="J46" t="s">
        <v>1557</v>
      </c>
      <c r="K46" t="s">
        <v>74</v>
      </c>
      <c r="L46" t="s">
        <v>74</v>
      </c>
      <c r="M46" t="s">
        <v>78</v>
      </c>
      <c r="N46" t="s">
        <v>2006</v>
      </c>
      <c r="O46" t="s">
        <v>74</v>
      </c>
      <c r="P46" t="s">
        <v>74</v>
      </c>
      <c r="Q46" t="s">
        <v>74</v>
      </c>
      <c r="R46" t="s">
        <v>74</v>
      </c>
      <c r="S46" t="s">
        <v>74</v>
      </c>
      <c r="T46" t="s">
        <v>5937</v>
      </c>
      <c r="U46" t="s">
        <v>74</v>
      </c>
      <c r="V46" t="s">
        <v>5938</v>
      </c>
      <c r="W46" s="1" t="s">
        <v>5939</v>
      </c>
      <c r="X46" t="s">
        <v>74</v>
      </c>
      <c r="Y46" t="s">
        <v>5940</v>
      </c>
      <c r="Z46" t="s">
        <v>1562</v>
      </c>
      <c r="AA46" t="s">
        <v>74</v>
      </c>
      <c r="AB46" t="s">
        <v>1563</v>
      </c>
      <c r="AC46" t="s">
        <v>74</v>
      </c>
      <c r="AD46" t="s">
        <v>74</v>
      </c>
      <c r="AE46" t="s">
        <v>74</v>
      </c>
      <c r="AF46" t="s">
        <v>5941</v>
      </c>
      <c r="AG46">
        <v>8</v>
      </c>
      <c r="AH46">
        <v>0</v>
      </c>
      <c r="AI46">
        <v>0</v>
      </c>
      <c r="AJ46">
        <v>0</v>
      </c>
      <c r="AK46">
        <v>0</v>
      </c>
      <c r="AL46" t="s">
        <v>1565</v>
      </c>
      <c r="AM46" t="s">
        <v>1566</v>
      </c>
      <c r="AN46" t="s">
        <v>1567</v>
      </c>
      <c r="AO46" t="s">
        <v>74</v>
      </c>
      <c r="AP46" t="s">
        <v>1568</v>
      </c>
      <c r="AQ46" t="s">
        <v>74</v>
      </c>
      <c r="AR46" t="s">
        <v>1569</v>
      </c>
      <c r="AS46" t="s">
        <v>1570</v>
      </c>
      <c r="AT46" t="s">
        <v>295</v>
      </c>
      <c r="AU46">
        <v>2022</v>
      </c>
      <c r="AV46">
        <v>11</v>
      </c>
      <c r="AW46">
        <v>11</v>
      </c>
      <c r="AX46" t="s">
        <v>74</v>
      </c>
      <c r="AY46" t="s">
        <v>74</v>
      </c>
      <c r="AZ46" t="s">
        <v>74</v>
      </c>
      <c r="BA46" t="s">
        <v>74</v>
      </c>
      <c r="BB46">
        <v>2759</v>
      </c>
      <c r="BC46">
        <v>2761</v>
      </c>
      <c r="BD46" t="s">
        <v>74</v>
      </c>
      <c r="BE46" t="s">
        <v>1572</v>
      </c>
      <c r="BF46" t="str">
        <f>HYPERLINK("http://dx.doi.org/10.34172/ijhpm.2022.6974","http://dx.doi.org/10.34172/ijhpm.2022.6974")</f>
        <v>http://dx.doi.org/10.34172/ijhpm.2022.6974</v>
      </c>
      <c r="BG46" t="s">
        <v>74</v>
      </c>
      <c r="BH46" t="s">
        <v>74</v>
      </c>
      <c r="BI46">
        <v>3</v>
      </c>
      <c r="BJ46" t="s">
        <v>1573</v>
      </c>
      <c r="BK46" t="s">
        <v>298</v>
      </c>
      <c r="BL46" t="s">
        <v>1574</v>
      </c>
      <c r="BM46" t="s">
        <v>5942</v>
      </c>
      <c r="BN46">
        <v>35942964</v>
      </c>
      <c r="BO46" t="s">
        <v>131</v>
      </c>
      <c r="BP46" t="s">
        <v>74</v>
      </c>
      <c r="BQ46" t="s">
        <v>74</v>
      </c>
      <c r="BR46" t="s">
        <v>105</v>
      </c>
      <c r="BS46" t="s">
        <v>5943</v>
      </c>
      <c r="BT46" t="str">
        <f>HYPERLINK("https%3A%2F%2Fwww.webofscience.com%2Fwos%2Fwoscc%2Ffull-record%2FWOS:000891762600041","View Full Record in Web of Science")</f>
        <v>View Full Record in Web of Science</v>
      </c>
    </row>
    <row r="47" spans="1:72" x14ac:dyDescent="0.2">
      <c r="A47" t="s">
        <v>72</v>
      </c>
      <c r="B47" t="s">
        <v>5137</v>
      </c>
      <c r="C47" t="s">
        <v>74</v>
      </c>
      <c r="D47" t="s">
        <v>74</v>
      </c>
      <c r="E47" t="s">
        <v>74</v>
      </c>
      <c r="F47" t="s">
        <v>5138</v>
      </c>
      <c r="G47" t="s">
        <v>74</v>
      </c>
      <c r="H47" t="s">
        <v>74</v>
      </c>
      <c r="I47" t="s">
        <v>5139</v>
      </c>
      <c r="J47" t="s">
        <v>5140</v>
      </c>
      <c r="K47" t="s">
        <v>74</v>
      </c>
      <c r="L47" t="s">
        <v>74</v>
      </c>
      <c r="M47" t="s">
        <v>78</v>
      </c>
      <c r="N47" t="s">
        <v>79</v>
      </c>
      <c r="O47" t="s">
        <v>74</v>
      </c>
      <c r="P47" t="s">
        <v>74</v>
      </c>
      <c r="Q47" t="s">
        <v>74</v>
      </c>
      <c r="R47" t="s">
        <v>74</v>
      </c>
      <c r="S47" t="s">
        <v>74</v>
      </c>
      <c r="T47" t="s">
        <v>5141</v>
      </c>
      <c r="U47" t="s">
        <v>5142</v>
      </c>
      <c r="V47" t="s">
        <v>5143</v>
      </c>
      <c r="W47" s="1" t="s">
        <v>5144</v>
      </c>
      <c r="X47" t="s">
        <v>5145</v>
      </c>
      <c r="Y47" t="s">
        <v>5146</v>
      </c>
      <c r="Z47" t="s">
        <v>5147</v>
      </c>
      <c r="AA47" t="s">
        <v>74</v>
      </c>
      <c r="AB47" t="s">
        <v>74</v>
      </c>
      <c r="AC47" t="s">
        <v>5148</v>
      </c>
      <c r="AD47" t="s">
        <v>5149</v>
      </c>
      <c r="AE47" t="s">
        <v>5150</v>
      </c>
      <c r="AF47" t="s">
        <v>5151</v>
      </c>
      <c r="AG47">
        <v>101</v>
      </c>
      <c r="AH47">
        <v>0</v>
      </c>
      <c r="AI47">
        <v>0</v>
      </c>
      <c r="AJ47">
        <v>1</v>
      </c>
      <c r="AK47">
        <v>1</v>
      </c>
      <c r="AL47" t="s">
        <v>1024</v>
      </c>
      <c r="AM47" t="s">
        <v>620</v>
      </c>
      <c r="AN47" t="s">
        <v>1025</v>
      </c>
      <c r="AO47" t="s">
        <v>5152</v>
      </c>
      <c r="AP47" t="s">
        <v>5153</v>
      </c>
      <c r="AQ47" t="s">
        <v>74</v>
      </c>
      <c r="AR47" t="s">
        <v>5154</v>
      </c>
      <c r="AS47" t="s">
        <v>5155</v>
      </c>
      <c r="AT47" t="s">
        <v>1029</v>
      </c>
      <c r="AU47">
        <v>2023</v>
      </c>
      <c r="AV47">
        <v>122</v>
      </c>
      <c r="AW47" t="s">
        <v>74</v>
      </c>
      <c r="AX47" t="s">
        <v>74</v>
      </c>
      <c r="AY47" t="s">
        <v>74</v>
      </c>
      <c r="AZ47" t="s">
        <v>74</v>
      </c>
      <c r="BA47" t="s">
        <v>74</v>
      </c>
      <c r="BB47" t="s">
        <v>74</v>
      </c>
      <c r="BC47" t="s">
        <v>74</v>
      </c>
      <c r="BD47">
        <v>104189</v>
      </c>
      <c r="BE47" t="s">
        <v>5156</v>
      </c>
      <c r="BF47" t="str">
        <f>HYPERLINK("http://dx.doi.org/10.1016/j.jsames.2022.104189","http://dx.doi.org/10.1016/j.jsames.2022.104189")</f>
        <v>http://dx.doi.org/10.1016/j.jsames.2022.104189</v>
      </c>
      <c r="BG47" t="s">
        <v>74</v>
      </c>
      <c r="BH47" t="s">
        <v>1031</v>
      </c>
      <c r="BI47">
        <v>22</v>
      </c>
      <c r="BJ47" t="s">
        <v>5048</v>
      </c>
      <c r="BK47" t="s">
        <v>102</v>
      </c>
      <c r="BL47" t="s">
        <v>2301</v>
      </c>
      <c r="BM47" t="s">
        <v>5157</v>
      </c>
      <c r="BN47" t="s">
        <v>74</v>
      </c>
      <c r="BO47" t="s">
        <v>74</v>
      </c>
      <c r="BP47" t="s">
        <v>74</v>
      </c>
      <c r="BQ47" t="s">
        <v>74</v>
      </c>
      <c r="BR47" t="s">
        <v>105</v>
      </c>
      <c r="BS47" t="s">
        <v>5158</v>
      </c>
      <c r="BT47" t="str">
        <f>HYPERLINK("https%3A%2F%2Fwww.webofscience.com%2Fwos%2Fwoscc%2Ffull-record%2FWOS:000924965100001","View Full Record in Web of Science")</f>
        <v>View Full Record in Web of Science</v>
      </c>
    </row>
    <row r="48" spans="1:72" x14ac:dyDescent="0.2">
      <c r="A48" t="s">
        <v>72</v>
      </c>
      <c r="B48" t="s">
        <v>6378</v>
      </c>
      <c r="C48" t="s">
        <v>74</v>
      </c>
      <c r="D48" t="s">
        <v>74</v>
      </c>
      <c r="E48" t="s">
        <v>74</v>
      </c>
      <c r="F48" t="s">
        <v>6379</v>
      </c>
      <c r="G48" t="s">
        <v>74</v>
      </c>
      <c r="H48" t="s">
        <v>74</v>
      </c>
      <c r="I48" t="s">
        <v>6380</v>
      </c>
      <c r="J48" t="s">
        <v>6381</v>
      </c>
      <c r="K48" t="s">
        <v>74</v>
      </c>
      <c r="L48" t="s">
        <v>74</v>
      </c>
      <c r="M48" t="s">
        <v>78</v>
      </c>
      <c r="N48" t="s">
        <v>79</v>
      </c>
      <c r="O48" t="s">
        <v>74</v>
      </c>
      <c r="P48" t="s">
        <v>74</v>
      </c>
      <c r="Q48" t="s">
        <v>74</v>
      </c>
      <c r="R48" t="s">
        <v>74</v>
      </c>
      <c r="S48" t="s">
        <v>74</v>
      </c>
      <c r="T48" t="s">
        <v>6382</v>
      </c>
      <c r="U48" t="s">
        <v>6383</v>
      </c>
      <c r="V48" t="s">
        <v>6384</v>
      </c>
      <c r="W48" s="1" t="s">
        <v>6385</v>
      </c>
      <c r="X48" t="s">
        <v>6386</v>
      </c>
      <c r="Y48" t="s">
        <v>6387</v>
      </c>
      <c r="Z48" t="s">
        <v>6388</v>
      </c>
      <c r="AA48" t="s">
        <v>74</v>
      </c>
      <c r="AB48" t="s">
        <v>6389</v>
      </c>
      <c r="AC48" t="s">
        <v>6390</v>
      </c>
      <c r="AD48" t="s">
        <v>6391</v>
      </c>
      <c r="AE48" t="s">
        <v>6392</v>
      </c>
      <c r="AF48" t="s">
        <v>6393</v>
      </c>
      <c r="AG48">
        <v>62</v>
      </c>
      <c r="AH48">
        <v>0</v>
      </c>
      <c r="AI48">
        <v>0</v>
      </c>
      <c r="AJ48">
        <v>6</v>
      </c>
      <c r="AK48">
        <v>12</v>
      </c>
      <c r="AL48" t="s">
        <v>263</v>
      </c>
      <c r="AM48" t="s">
        <v>264</v>
      </c>
      <c r="AN48" t="s">
        <v>265</v>
      </c>
      <c r="AO48" t="s">
        <v>6394</v>
      </c>
      <c r="AP48" t="s">
        <v>6395</v>
      </c>
      <c r="AQ48" t="s">
        <v>74</v>
      </c>
      <c r="AR48" t="s">
        <v>6396</v>
      </c>
      <c r="AS48" t="s">
        <v>6397</v>
      </c>
      <c r="AT48" t="s">
        <v>6398</v>
      </c>
      <c r="AU48">
        <v>2022</v>
      </c>
      <c r="AV48">
        <v>846</v>
      </c>
      <c r="AW48" t="s">
        <v>74</v>
      </c>
      <c r="AX48" t="s">
        <v>74</v>
      </c>
      <c r="AY48" t="s">
        <v>74</v>
      </c>
      <c r="AZ48" t="s">
        <v>74</v>
      </c>
      <c r="BA48" t="s">
        <v>74</v>
      </c>
      <c r="BB48" t="s">
        <v>74</v>
      </c>
      <c r="BC48" t="s">
        <v>74</v>
      </c>
      <c r="BD48">
        <v>157475</v>
      </c>
      <c r="BE48" t="s">
        <v>6399</v>
      </c>
      <c r="BF48" t="str">
        <f>HYPERLINK("http://dx.doi.org/10.1016/j.scitotenv.2022.157475","http://dx.doi.org/10.1016/j.scitotenv.2022.157475")</f>
        <v>http://dx.doi.org/10.1016/j.scitotenv.2022.157475</v>
      </c>
      <c r="BG48" t="s">
        <v>74</v>
      </c>
      <c r="BH48" t="s">
        <v>501</v>
      </c>
      <c r="BI48">
        <v>13</v>
      </c>
      <c r="BJ48" t="s">
        <v>1032</v>
      </c>
      <c r="BK48" t="s">
        <v>102</v>
      </c>
      <c r="BL48" t="s">
        <v>1033</v>
      </c>
      <c r="BM48" t="s">
        <v>6400</v>
      </c>
      <c r="BN48">
        <v>35868394</v>
      </c>
      <c r="BO48" t="s">
        <v>74</v>
      </c>
      <c r="BP48" t="s">
        <v>74</v>
      </c>
      <c r="BQ48" t="s">
        <v>74</v>
      </c>
      <c r="BR48" t="s">
        <v>105</v>
      </c>
      <c r="BS48" t="s">
        <v>6401</v>
      </c>
      <c r="BT48" t="str">
        <f>HYPERLINK("https%3A%2F%2Fwww.webofscience.com%2Fwos%2Fwoscc%2Ffull-record%2FWOS:000841995700004","View Full Record in Web of Science")</f>
        <v>View Full Record in Web of Science</v>
      </c>
    </row>
    <row r="49" spans="1:72" x14ac:dyDescent="0.2">
      <c r="A49" t="s">
        <v>72</v>
      </c>
      <c r="B49" t="s">
        <v>3833</v>
      </c>
      <c r="C49" t="s">
        <v>74</v>
      </c>
      <c r="D49" t="s">
        <v>74</v>
      </c>
      <c r="E49" t="s">
        <v>74</v>
      </c>
      <c r="F49" t="s">
        <v>3834</v>
      </c>
      <c r="G49" t="s">
        <v>74</v>
      </c>
      <c r="H49" t="s">
        <v>74</v>
      </c>
      <c r="I49" t="s">
        <v>3835</v>
      </c>
      <c r="J49" t="s">
        <v>3836</v>
      </c>
      <c r="K49" t="s">
        <v>74</v>
      </c>
      <c r="L49" t="s">
        <v>74</v>
      </c>
      <c r="M49" t="s">
        <v>78</v>
      </c>
      <c r="N49" t="s">
        <v>79</v>
      </c>
      <c r="O49" t="s">
        <v>74</v>
      </c>
      <c r="P49" t="s">
        <v>74</v>
      </c>
      <c r="Q49" t="s">
        <v>74</v>
      </c>
      <c r="R49" t="s">
        <v>74</v>
      </c>
      <c r="S49" t="s">
        <v>74</v>
      </c>
      <c r="T49" t="s">
        <v>3837</v>
      </c>
      <c r="U49" t="s">
        <v>3838</v>
      </c>
      <c r="V49" t="s">
        <v>3839</v>
      </c>
      <c r="W49" s="1" t="s">
        <v>3840</v>
      </c>
      <c r="X49" t="s">
        <v>3841</v>
      </c>
      <c r="Y49" t="s">
        <v>3842</v>
      </c>
      <c r="Z49" t="s">
        <v>3843</v>
      </c>
      <c r="AA49" t="s">
        <v>3844</v>
      </c>
      <c r="AB49" t="s">
        <v>3845</v>
      </c>
      <c r="AC49" t="s">
        <v>3846</v>
      </c>
      <c r="AD49" t="s">
        <v>3847</v>
      </c>
      <c r="AE49" t="s">
        <v>3848</v>
      </c>
      <c r="AF49" t="s">
        <v>3849</v>
      </c>
      <c r="AG49">
        <v>64</v>
      </c>
      <c r="AH49">
        <v>0</v>
      </c>
      <c r="AI49">
        <v>0</v>
      </c>
      <c r="AJ49">
        <v>3</v>
      </c>
      <c r="AK49">
        <v>3</v>
      </c>
      <c r="AL49" t="s">
        <v>619</v>
      </c>
      <c r="AM49" t="s">
        <v>620</v>
      </c>
      <c r="AN49" t="s">
        <v>621</v>
      </c>
      <c r="AO49" t="s">
        <v>3850</v>
      </c>
      <c r="AP49" t="s">
        <v>3851</v>
      </c>
      <c r="AQ49" t="s">
        <v>74</v>
      </c>
      <c r="AR49" t="s">
        <v>3852</v>
      </c>
      <c r="AS49" t="s">
        <v>3853</v>
      </c>
      <c r="AT49" t="s">
        <v>3119</v>
      </c>
      <c r="AU49">
        <v>2023</v>
      </c>
      <c r="AV49">
        <v>49</v>
      </c>
      <c r="AW49">
        <v>3</v>
      </c>
      <c r="AX49" t="s">
        <v>74</v>
      </c>
      <c r="AY49" t="s">
        <v>74</v>
      </c>
      <c r="AZ49" t="s">
        <v>74</v>
      </c>
      <c r="BA49" t="s">
        <v>74</v>
      </c>
      <c r="BB49">
        <v>5279</v>
      </c>
      <c r="BC49">
        <v>5291</v>
      </c>
      <c r="BD49" t="s">
        <v>74</v>
      </c>
      <c r="BE49" t="s">
        <v>3854</v>
      </c>
      <c r="BF49" t="str">
        <f>HYPERLINK("http://dx.doi.org/10.1016/j.ceramint.2022.10.046","http://dx.doi.org/10.1016/j.ceramint.2022.10.046")</f>
        <v>http://dx.doi.org/10.1016/j.ceramint.2022.10.046</v>
      </c>
      <c r="BG49" t="s">
        <v>74</v>
      </c>
      <c r="BH49" t="s">
        <v>74</v>
      </c>
      <c r="BI49">
        <v>13</v>
      </c>
      <c r="BJ49" t="s">
        <v>3855</v>
      </c>
      <c r="BK49" t="s">
        <v>102</v>
      </c>
      <c r="BL49" t="s">
        <v>3733</v>
      </c>
      <c r="BM49" t="s">
        <v>3856</v>
      </c>
      <c r="BN49" t="s">
        <v>74</v>
      </c>
      <c r="BO49" t="s">
        <v>74</v>
      </c>
      <c r="BP49" t="s">
        <v>74</v>
      </c>
      <c r="BQ49" t="s">
        <v>74</v>
      </c>
      <c r="BR49" t="s">
        <v>105</v>
      </c>
      <c r="BS49" t="s">
        <v>3857</v>
      </c>
      <c r="BT49" t="str">
        <f>HYPERLINK("https%3A%2F%2Fwww.webofscience.com%2Fwos%2Fwoscc%2Ffull-record%2FWOS:000905408600001","View Full Record in Web of Science")</f>
        <v>View Full Record in Web of Science</v>
      </c>
    </row>
    <row r="50" spans="1:72" x14ac:dyDescent="0.2">
      <c r="A50" t="s">
        <v>72</v>
      </c>
      <c r="B50" t="s">
        <v>73</v>
      </c>
      <c r="C50" t="s">
        <v>74</v>
      </c>
      <c r="D50" t="s">
        <v>74</v>
      </c>
      <c r="E50" t="s">
        <v>74</v>
      </c>
      <c r="F50" t="s">
        <v>75</v>
      </c>
      <c r="G50" t="s">
        <v>74</v>
      </c>
      <c r="H50" t="s">
        <v>74</v>
      </c>
      <c r="I50" t="s">
        <v>76</v>
      </c>
      <c r="J50" t="s">
        <v>77</v>
      </c>
      <c r="K50" t="s">
        <v>74</v>
      </c>
      <c r="L50" t="s">
        <v>74</v>
      </c>
      <c r="M50" t="s">
        <v>78</v>
      </c>
      <c r="N50" t="s">
        <v>79</v>
      </c>
      <c r="O50" t="s">
        <v>74</v>
      </c>
      <c r="P50" t="s">
        <v>74</v>
      </c>
      <c r="Q50" t="s">
        <v>74</v>
      </c>
      <c r="R50" t="s">
        <v>74</v>
      </c>
      <c r="S50" t="s">
        <v>74</v>
      </c>
      <c r="T50" t="s">
        <v>80</v>
      </c>
      <c r="U50" t="s">
        <v>81</v>
      </c>
      <c r="V50" t="s">
        <v>82</v>
      </c>
      <c r="W50" s="1" t="s">
        <v>83</v>
      </c>
      <c r="X50" t="s">
        <v>84</v>
      </c>
      <c r="Y50" t="s">
        <v>85</v>
      </c>
      <c r="Z50" t="s">
        <v>86</v>
      </c>
      <c r="AA50" t="s">
        <v>87</v>
      </c>
      <c r="AB50" t="s">
        <v>88</v>
      </c>
      <c r="AC50" t="s">
        <v>89</v>
      </c>
      <c r="AD50" t="s">
        <v>90</v>
      </c>
      <c r="AE50" t="s">
        <v>91</v>
      </c>
      <c r="AF50" t="s">
        <v>92</v>
      </c>
      <c r="AG50">
        <v>45</v>
      </c>
      <c r="AH50">
        <v>10</v>
      </c>
      <c r="AI50">
        <v>10</v>
      </c>
      <c r="AJ50">
        <v>5</v>
      </c>
      <c r="AK50">
        <v>19</v>
      </c>
      <c r="AL50" t="s">
        <v>93</v>
      </c>
      <c r="AM50" t="s">
        <v>94</v>
      </c>
      <c r="AN50" t="s">
        <v>95</v>
      </c>
      <c r="AO50" t="s">
        <v>74</v>
      </c>
      <c r="AP50" t="s">
        <v>96</v>
      </c>
      <c r="AQ50" t="s">
        <v>74</v>
      </c>
      <c r="AR50" t="s">
        <v>97</v>
      </c>
      <c r="AS50" t="s">
        <v>98</v>
      </c>
      <c r="AT50" t="s">
        <v>99</v>
      </c>
      <c r="AU50">
        <v>2022</v>
      </c>
      <c r="AV50">
        <v>14</v>
      </c>
      <c r="AW50">
        <v>2</v>
      </c>
      <c r="AX50" t="s">
        <v>74</v>
      </c>
      <c r="AY50" t="s">
        <v>74</v>
      </c>
      <c r="AZ50" t="s">
        <v>74</v>
      </c>
      <c r="BA50" t="s">
        <v>74</v>
      </c>
      <c r="BB50" t="s">
        <v>74</v>
      </c>
      <c r="BC50" t="s">
        <v>74</v>
      </c>
      <c r="BD50">
        <v>310</v>
      </c>
      <c r="BE50" t="s">
        <v>100</v>
      </c>
      <c r="BF50" t="str">
        <f>HYPERLINK("http://dx.doi.org/10.3390/polym14020310","http://dx.doi.org/10.3390/polym14020310")</f>
        <v>http://dx.doi.org/10.3390/polym14020310</v>
      </c>
      <c r="BG50" t="s">
        <v>74</v>
      </c>
      <c r="BH50" t="s">
        <v>74</v>
      </c>
      <c r="BI50">
        <v>16</v>
      </c>
      <c r="BJ50" t="s">
        <v>101</v>
      </c>
      <c r="BK50" t="s">
        <v>102</v>
      </c>
      <c r="BL50" t="s">
        <v>101</v>
      </c>
      <c r="BM50" t="s">
        <v>103</v>
      </c>
      <c r="BN50">
        <v>35054716</v>
      </c>
      <c r="BO50" t="s">
        <v>104</v>
      </c>
      <c r="BP50" t="s">
        <v>74</v>
      </c>
      <c r="BQ50" t="s">
        <v>74</v>
      </c>
      <c r="BR50" t="s">
        <v>105</v>
      </c>
      <c r="BS50" t="s">
        <v>106</v>
      </c>
      <c r="BT50" t="str">
        <f>HYPERLINK("https%3A%2F%2Fwww.webofscience.com%2Fwos%2Fwoscc%2Ffull-record%2FWOS:000758488500001","View Full Record in Web of Science")</f>
        <v>View Full Record in Web of Science</v>
      </c>
    </row>
    <row r="51" spans="1:72" x14ac:dyDescent="0.2">
      <c r="A51" t="s">
        <v>72</v>
      </c>
      <c r="B51" t="s">
        <v>1737</v>
      </c>
      <c r="C51" t="s">
        <v>74</v>
      </c>
      <c r="D51" t="s">
        <v>74</v>
      </c>
      <c r="E51" t="s">
        <v>74</v>
      </c>
      <c r="F51" t="s">
        <v>1738</v>
      </c>
      <c r="G51" t="s">
        <v>74</v>
      </c>
      <c r="H51" t="s">
        <v>74</v>
      </c>
      <c r="I51" t="s">
        <v>1739</v>
      </c>
      <c r="J51" t="s">
        <v>1740</v>
      </c>
      <c r="K51" t="s">
        <v>74</v>
      </c>
      <c r="L51" t="s">
        <v>74</v>
      </c>
      <c r="M51" t="s">
        <v>78</v>
      </c>
      <c r="N51" t="s">
        <v>79</v>
      </c>
      <c r="O51" t="s">
        <v>74</v>
      </c>
      <c r="P51" t="s">
        <v>74</v>
      </c>
      <c r="Q51" t="s">
        <v>74</v>
      </c>
      <c r="R51" t="s">
        <v>74</v>
      </c>
      <c r="S51" t="s">
        <v>74</v>
      </c>
      <c r="T51" t="s">
        <v>1741</v>
      </c>
      <c r="U51" t="s">
        <v>1742</v>
      </c>
      <c r="V51" t="s">
        <v>1743</v>
      </c>
      <c r="W51" s="1" t="s">
        <v>1744</v>
      </c>
      <c r="X51" t="s">
        <v>284</v>
      </c>
      <c r="Y51" t="s">
        <v>1745</v>
      </c>
      <c r="Z51" t="s">
        <v>1746</v>
      </c>
      <c r="AA51" t="s">
        <v>1747</v>
      </c>
      <c r="AB51" t="s">
        <v>1748</v>
      </c>
      <c r="AC51" t="s">
        <v>1701</v>
      </c>
      <c r="AD51" t="s">
        <v>1702</v>
      </c>
      <c r="AE51" t="s">
        <v>1703</v>
      </c>
      <c r="AF51" t="s">
        <v>1749</v>
      </c>
      <c r="AG51">
        <v>22</v>
      </c>
      <c r="AH51">
        <v>1</v>
      </c>
      <c r="AI51">
        <v>1</v>
      </c>
      <c r="AJ51">
        <v>0</v>
      </c>
      <c r="AK51">
        <v>0</v>
      </c>
      <c r="AL51" t="s">
        <v>150</v>
      </c>
      <c r="AM51" t="s">
        <v>151</v>
      </c>
      <c r="AN51" t="s">
        <v>152</v>
      </c>
      <c r="AO51" t="s">
        <v>1750</v>
      </c>
      <c r="AP51" t="s">
        <v>1751</v>
      </c>
      <c r="AQ51" t="s">
        <v>74</v>
      </c>
      <c r="AR51" t="s">
        <v>1740</v>
      </c>
      <c r="AS51" t="s">
        <v>1752</v>
      </c>
      <c r="AT51" t="s">
        <v>1753</v>
      </c>
      <c r="AU51">
        <v>2022</v>
      </c>
      <c r="AV51">
        <v>74</v>
      </c>
      <c r="AW51">
        <v>5</v>
      </c>
      <c r="AX51" t="s">
        <v>74</v>
      </c>
      <c r="AY51" t="s">
        <v>74</v>
      </c>
      <c r="AZ51" t="s">
        <v>74</v>
      </c>
      <c r="BA51" t="s">
        <v>74</v>
      </c>
      <c r="BB51">
        <v>507</v>
      </c>
      <c r="BC51">
        <v>511</v>
      </c>
      <c r="BD51" t="s">
        <v>74</v>
      </c>
      <c r="BE51" t="s">
        <v>1754</v>
      </c>
      <c r="BF51" t="str">
        <f>HYPERLINK("http://dx.doi.org/10.1007/s00251-022-01266-5","http://dx.doi.org/10.1007/s00251-022-01266-5")</f>
        <v>http://dx.doi.org/10.1007/s00251-022-01266-5</v>
      </c>
      <c r="BG51" t="s">
        <v>74</v>
      </c>
      <c r="BH51" t="s">
        <v>1660</v>
      </c>
      <c r="BI51">
        <v>5</v>
      </c>
      <c r="BJ51" t="s">
        <v>1755</v>
      </c>
      <c r="BK51" t="s">
        <v>102</v>
      </c>
      <c r="BL51" t="s">
        <v>1755</v>
      </c>
      <c r="BM51" t="s">
        <v>1756</v>
      </c>
      <c r="BN51">
        <v>35616699</v>
      </c>
      <c r="BO51" t="s">
        <v>74</v>
      </c>
      <c r="BP51" t="s">
        <v>74</v>
      </c>
      <c r="BQ51" t="s">
        <v>74</v>
      </c>
      <c r="BR51" t="s">
        <v>105</v>
      </c>
      <c r="BS51" t="s">
        <v>1757</v>
      </c>
      <c r="BT51" t="str">
        <f>HYPERLINK("https%3A%2F%2Fwww.webofscience.com%2Fwos%2Fwoscc%2Ffull-record%2FWOS:000805543500001","View Full Record in Web of Science")</f>
        <v>View Full Record in Web of Science</v>
      </c>
    </row>
    <row r="52" spans="1:72" x14ac:dyDescent="0.2">
      <c r="A52" t="s">
        <v>72</v>
      </c>
      <c r="B52" t="s">
        <v>3809</v>
      </c>
      <c r="C52" t="s">
        <v>74</v>
      </c>
      <c r="D52" t="s">
        <v>74</v>
      </c>
      <c r="E52" t="s">
        <v>74</v>
      </c>
      <c r="F52" t="s">
        <v>3810</v>
      </c>
      <c r="G52" t="s">
        <v>74</v>
      </c>
      <c r="H52" t="s">
        <v>74</v>
      </c>
      <c r="I52" t="s">
        <v>3811</v>
      </c>
      <c r="J52" t="s">
        <v>3812</v>
      </c>
      <c r="K52" t="s">
        <v>74</v>
      </c>
      <c r="L52" t="s">
        <v>74</v>
      </c>
      <c r="M52" t="s">
        <v>78</v>
      </c>
      <c r="N52" t="s">
        <v>79</v>
      </c>
      <c r="O52" t="s">
        <v>74</v>
      </c>
      <c r="P52" t="s">
        <v>74</v>
      </c>
      <c r="Q52" t="s">
        <v>74</v>
      </c>
      <c r="R52" t="s">
        <v>74</v>
      </c>
      <c r="S52" t="s">
        <v>74</v>
      </c>
      <c r="T52" t="s">
        <v>3813</v>
      </c>
      <c r="U52" t="s">
        <v>3814</v>
      </c>
      <c r="V52" t="s">
        <v>3815</v>
      </c>
      <c r="W52" s="1" t="s">
        <v>3816</v>
      </c>
      <c r="X52" t="s">
        <v>3817</v>
      </c>
      <c r="Y52" t="s">
        <v>3818</v>
      </c>
      <c r="Z52" t="s">
        <v>3819</v>
      </c>
      <c r="AA52" t="s">
        <v>74</v>
      </c>
      <c r="AB52" t="s">
        <v>3820</v>
      </c>
      <c r="AC52" t="s">
        <v>3821</v>
      </c>
      <c r="AD52" t="s">
        <v>3822</v>
      </c>
      <c r="AE52" t="s">
        <v>3823</v>
      </c>
      <c r="AF52" t="s">
        <v>3824</v>
      </c>
      <c r="AG52">
        <v>56</v>
      </c>
      <c r="AH52">
        <v>1</v>
      </c>
      <c r="AI52">
        <v>1</v>
      </c>
      <c r="AJ52">
        <v>2</v>
      </c>
      <c r="AK52">
        <v>6</v>
      </c>
      <c r="AL52" t="s">
        <v>150</v>
      </c>
      <c r="AM52" t="s">
        <v>151</v>
      </c>
      <c r="AN52" t="s">
        <v>152</v>
      </c>
      <c r="AO52" t="s">
        <v>3825</v>
      </c>
      <c r="AP52" t="s">
        <v>3826</v>
      </c>
      <c r="AQ52" t="s">
        <v>74</v>
      </c>
      <c r="AR52" t="s">
        <v>3827</v>
      </c>
      <c r="AS52" t="s">
        <v>3828</v>
      </c>
      <c r="AT52" t="s">
        <v>476</v>
      </c>
      <c r="AU52">
        <v>2022</v>
      </c>
      <c r="AV52">
        <v>53</v>
      </c>
      <c r="AW52">
        <v>3</v>
      </c>
      <c r="AX52" t="s">
        <v>74</v>
      </c>
      <c r="AY52" t="s">
        <v>74</v>
      </c>
      <c r="AZ52" t="s">
        <v>74</v>
      </c>
      <c r="BA52" t="s">
        <v>74</v>
      </c>
      <c r="BB52">
        <v>1175</v>
      </c>
      <c r="BC52">
        <v>1186</v>
      </c>
      <c r="BD52" t="s">
        <v>74</v>
      </c>
      <c r="BE52" t="s">
        <v>3829</v>
      </c>
      <c r="BF52" t="str">
        <f>HYPERLINK("http://dx.doi.org/10.1007/s42770-022-00757-7","http://dx.doi.org/10.1007/s42770-022-00757-7")</f>
        <v>http://dx.doi.org/10.1007/s42770-022-00757-7</v>
      </c>
      <c r="BG52" t="s">
        <v>74</v>
      </c>
      <c r="BH52" t="s">
        <v>271</v>
      </c>
      <c r="BI52">
        <v>12</v>
      </c>
      <c r="BJ52" t="s">
        <v>3830</v>
      </c>
      <c r="BK52" t="s">
        <v>102</v>
      </c>
      <c r="BL52" t="s">
        <v>3830</v>
      </c>
      <c r="BM52" t="s">
        <v>3831</v>
      </c>
      <c r="BN52">
        <v>35486355</v>
      </c>
      <c r="BO52" t="s">
        <v>74</v>
      </c>
      <c r="BP52" t="s">
        <v>74</v>
      </c>
      <c r="BQ52" t="s">
        <v>74</v>
      </c>
      <c r="BR52" t="s">
        <v>105</v>
      </c>
      <c r="BS52" t="s">
        <v>3832</v>
      </c>
      <c r="BT52" t="str">
        <f>HYPERLINK("https%3A%2F%2Fwww.webofscience.com%2Fwos%2Fwoscc%2Ffull-record%2FWOS:000819163400001","View Full Record in Web of Science")</f>
        <v>View Full Record in Web of Science</v>
      </c>
    </row>
    <row r="53" spans="1:72" x14ac:dyDescent="0.2">
      <c r="A53" t="s">
        <v>72</v>
      </c>
      <c r="B53" t="s">
        <v>4191</v>
      </c>
      <c r="C53" t="s">
        <v>74</v>
      </c>
      <c r="D53" t="s">
        <v>74</v>
      </c>
      <c r="E53" t="s">
        <v>74</v>
      </c>
      <c r="F53" t="s">
        <v>4192</v>
      </c>
      <c r="G53" t="s">
        <v>74</v>
      </c>
      <c r="H53" t="s">
        <v>74</v>
      </c>
      <c r="I53" t="s">
        <v>4193</v>
      </c>
      <c r="J53" t="s">
        <v>4194</v>
      </c>
      <c r="K53" t="s">
        <v>74</v>
      </c>
      <c r="L53" t="s">
        <v>74</v>
      </c>
      <c r="M53" t="s">
        <v>78</v>
      </c>
      <c r="N53" t="s">
        <v>3324</v>
      </c>
      <c r="O53" t="s">
        <v>74</v>
      </c>
      <c r="P53" t="s">
        <v>74</v>
      </c>
      <c r="Q53" t="s">
        <v>74</v>
      </c>
      <c r="R53" t="s">
        <v>74</v>
      </c>
      <c r="S53" t="s">
        <v>74</v>
      </c>
      <c r="T53" t="s">
        <v>4195</v>
      </c>
      <c r="U53" t="s">
        <v>4196</v>
      </c>
      <c r="V53" t="s">
        <v>4197</v>
      </c>
      <c r="W53" s="1" t="s">
        <v>4198</v>
      </c>
      <c r="X53" t="s">
        <v>3817</v>
      </c>
      <c r="Y53" t="s">
        <v>4199</v>
      </c>
      <c r="Z53" t="s">
        <v>4200</v>
      </c>
      <c r="AA53" t="s">
        <v>74</v>
      </c>
      <c r="AB53" t="s">
        <v>3820</v>
      </c>
      <c r="AC53" t="s">
        <v>4201</v>
      </c>
      <c r="AD53" t="s">
        <v>4202</v>
      </c>
      <c r="AE53" t="s">
        <v>4203</v>
      </c>
      <c r="AF53" t="s">
        <v>4204</v>
      </c>
      <c r="AG53">
        <v>180</v>
      </c>
      <c r="AH53">
        <v>0</v>
      </c>
      <c r="AI53">
        <v>0</v>
      </c>
      <c r="AJ53">
        <v>9</v>
      </c>
      <c r="AK53">
        <v>9</v>
      </c>
      <c r="AL53" t="s">
        <v>150</v>
      </c>
      <c r="AM53" t="s">
        <v>1653</v>
      </c>
      <c r="AN53" t="s">
        <v>1654</v>
      </c>
      <c r="AO53" t="s">
        <v>4205</v>
      </c>
      <c r="AP53" t="s">
        <v>4206</v>
      </c>
      <c r="AQ53" t="s">
        <v>74</v>
      </c>
      <c r="AR53" t="s">
        <v>4194</v>
      </c>
      <c r="AS53" t="s">
        <v>4207</v>
      </c>
      <c r="AT53" t="s">
        <v>4208</v>
      </c>
      <c r="AU53">
        <v>2022</v>
      </c>
      <c r="AV53" t="s">
        <v>74</v>
      </c>
      <c r="AW53" t="s">
        <v>74</v>
      </c>
      <c r="AX53" t="s">
        <v>74</v>
      </c>
      <c r="AY53" t="s">
        <v>74</v>
      </c>
      <c r="AZ53" t="s">
        <v>74</v>
      </c>
      <c r="BA53" t="s">
        <v>74</v>
      </c>
      <c r="BB53" t="s">
        <v>74</v>
      </c>
      <c r="BC53" t="s">
        <v>74</v>
      </c>
      <c r="BD53" t="s">
        <v>74</v>
      </c>
      <c r="BE53" t="s">
        <v>4209</v>
      </c>
      <c r="BF53" t="str">
        <f>HYPERLINK("http://dx.doi.org/10.1007/s10534-022-00479-1","http://dx.doi.org/10.1007/s10534-022-00479-1")</f>
        <v>http://dx.doi.org/10.1007/s10534-022-00479-1</v>
      </c>
      <c r="BG53" t="s">
        <v>74</v>
      </c>
      <c r="BH53" t="s">
        <v>158</v>
      </c>
      <c r="BI53">
        <v>32</v>
      </c>
      <c r="BJ53" t="s">
        <v>4210</v>
      </c>
      <c r="BK53" t="s">
        <v>102</v>
      </c>
      <c r="BL53" t="s">
        <v>4210</v>
      </c>
      <c r="BM53" t="s">
        <v>4211</v>
      </c>
      <c r="BN53">
        <v>36482125</v>
      </c>
      <c r="BO53" t="s">
        <v>74</v>
      </c>
      <c r="BP53" t="s">
        <v>74</v>
      </c>
      <c r="BQ53" t="s">
        <v>74</v>
      </c>
      <c r="BR53" t="s">
        <v>105</v>
      </c>
      <c r="BS53" t="s">
        <v>4212</v>
      </c>
      <c r="BT53" t="str">
        <f>HYPERLINK("https%3A%2F%2Fwww.webofscience.com%2Fwos%2Fwoscc%2Ffull-record%2FWOS:000895578100001","View Full Record in Web of Science")</f>
        <v>View Full Record in Web of Science</v>
      </c>
    </row>
    <row r="54" spans="1:72" x14ac:dyDescent="0.2">
      <c r="A54" t="s">
        <v>72</v>
      </c>
      <c r="B54" t="s">
        <v>5341</v>
      </c>
      <c r="C54" t="s">
        <v>74</v>
      </c>
      <c r="D54" t="s">
        <v>74</v>
      </c>
      <c r="E54" t="s">
        <v>74</v>
      </c>
      <c r="F54" t="s">
        <v>5342</v>
      </c>
      <c r="G54" t="s">
        <v>74</v>
      </c>
      <c r="H54" t="s">
        <v>74</v>
      </c>
      <c r="I54" t="s">
        <v>5343</v>
      </c>
      <c r="J54" t="s">
        <v>5344</v>
      </c>
      <c r="K54" t="s">
        <v>74</v>
      </c>
      <c r="L54" t="s">
        <v>74</v>
      </c>
      <c r="M54" t="s">
        <v>78</v>
      </c>
      <c r="N54" t="s">
        <v>79</v>
      </c>
      <c r="O54" t="s">
        <v>74</v>
      </c>
      <c r="P54" t="s">
        <v>74</v>
      </c>
      <c r="Q54" t="s">
        <v>74</v>
      </c>
      <c r="R54" t="s">
        <v>74</v>
      </c>
      <c r="S54" t="s">
        <v>74</v>
      </c>
      <c r="T54" t="s">
        <v>5345</v>
      </c>
      <c r="U54" t="s">
        <v>5346</v>
      </c>
      <c r="V54" t="s">
        <v>5347</v>
      </c>
      <c r="W54" s="1" t="s">
        <v>5348</v>
      </c>
      <c r="X54" t="s">
        <v>5349</v>
      </c>
      <c r="Y54" t="s">
        <v>5350</v>
      </c>
      <c r="Z54" t="s">
        <v>5351</v>
      </c>
      <c r="AA54" t="s">
        <v>74</v>
      </c>
      <c r="AB54" t="s">
        <v>74</v>
      </c>
      <c r="AC54" t="s">
        <v>74</v>
      </c>
      <c r="AD54" t="s">
        <v>74</v>
      </c>
      <c r="AE54" t="s">
        <v>74</v>
      </c>
      <c r="AF54" t="s">
        <v>5352</v>
      </c>
      <c r="AG54">
        <v>30</v>
      </c>
      <c r="AH54">
        <v>0</v>
      </c>
      <c r="AI54">
        <v>0</v>
      </c>
      <c r="AJ54">
        <v>1</v>
      </c>
      <c r="AK54">
        <v>1</v>
      </c>
      <c r="AL54" t="s">
        <v>5353</v>
      </c>
      <c r="AM54" t="s">
        <v>316</v>
      </c>
      <c r="AN54" t="s">
        <v>5354</v>
      </c>
      <c r="AO54" t="s">
        <v>5355</v>
      </c>
      <c r="AP54" t="s">
        <v>5356</v>
      </c>
      <c r="AQ54" t="s">
        <v>74</v>
      </c>
      <c r="AR54" t="s">
        <v>5357</v>
      </c>
      <c r="AS54" t="s">
        <v>5358</v>
      </c>
      <c r="AT54" t="s">
        <v>1487</v>
      </c>
      <c r="AU54">
        <v>2022</v>
      </c>
      <c r="AV54">
        <v>24</v>
      </c>
      <c r="AW54">
        <v>43</v>
      </c>
      <c r="AX54" t="s">
        <v>74</v>
      </c>
      <c r="AY54" t="s">
        <v>74</v>
      </c>
      <c r="AZ54" t="s">
        <v>74</v>
      </c>
      <c r="BA54" t="s">
        <v>74</v>
      </c>
      <c r="BB54">
        <v>1</v>
      </c>
      <c r="BC54">
        <v>36</v>
      </c>
      <c r="BD54" t="s">
        <v>74</v>
      </c>
      <c r="BE54" t="s">
        <v>5359</v>
      </c>
      <c r="BF54" t="str">
        <f>HYPERLINK("http://dx.doi.org/10.12804/revistas.urosario.edu.co/empresa/a.11934","http://dx.doi.org/10.12804/revistas.urosario.edu.co/empresa/a.11934")</f>
        <v>http://dx.doi.org/10.12804/revistas.urosario.edu.co/empresa/a.11934</v>
      </c>
      <c r="BG54" t="s">
        <v>74</v>
      </c>
      <c r="BH54" t="s">
        <v>74</v>
      </c>
      <c r="BI54">
        <v>36</v>
      </c>
      <c r="BJ54" t="s">
        <v>5360</v>
      </c>
      <c r="BK54" t="s">
        <v>187</v>
      </c>
      <c r="BL54" t="s">
        <v>935</v>
      </c>
      <c r="BM54" t="s">
        <v>5361</v>
      </c>
      <c r="BN54" t="s">
        <v>74</v>
      </c>
      <c r="BO54" t="s">
        <v>190</v>
      </c>
      <c r="BP54" t="s">
        <v>74</v>
      </c>
      <c r="BQ54" t="s">
        <v>74</v>
      </c>
      <c r="BR54" t="s">
        <v>105</v>
      </c>
      <c r="BS54" t="s">
        <v>5362</v>
      </c>
      <c r="BT54" t="str">
        <f>HYPERLINK("https%3A%2F%2Fwww.webofscience.com%2Fwos%2Fwoscc%2Ffull-record%2FWOS:000948519200001","View Full Record in Web of Science")</f>
        <v>View Full Record in Web of Science</v>
      </c>
    </row>
    <row r="55" spans="1:72" x14ac:dyDescent="0.2">
      <c r="A55" t="s">
        <v>72</v>
      </c>
      <c r="B55" t="s">
        <v>107</v>
      </c>
      <c r="C55" t="s">
        <v>74</v>
      </c>
      <c r="D55" t="s">
        <v>74</v>
      </c>
      <c r="E55" t="s">
        <v>74</v>
      </c>
      <c r="F55" t="s">
        <v>108</v>
      </c>
      <c r="G55" t="s">
        <v>74</v>
      </c>
      <c r="H55" t="s">
        <v>74</v>
      </c>
      <c r="I55" t="s">
        <v>109</v>
      </c>
      <c r="J55" t="s">
        <v>110</v>
      </c>
      <c r="K55" t="s">
        <v>74</v>
      </c>
      <c r="L55" t="s">
        <v>74</v>
      </c>
      <c r="M55" t="s">
        <v>78</v>
      </c>
      <c r="N55" t="s">
        <v>79</v>
      </c>
      <c r="O55" t="s">
        <v>74</v>
      </c>
      <c r="P55" t="s">
        <v>74</v>
      </c>
      <c r="Q55" t="s">
        <v>74</v>
      </c>
      <c r="R55" t="s">
        <v>74</v>
      </c>
      <c r="S55" t="s">
        <v>74</v>
      </c>
      <c r="T55" t="s">
        <v>111</v>
      </c>
      <c r="U55" t="s">
        <v>112</v>
      </c>
      <c r="V55" t="s">
        <v>113</v>
      </c>
      <c r="W55" s="1" t="s">
        <v>114</v>
      </c>
      <c r="X55" t="s">
        <v>115</v>
      </c>
      <c r="Y55" t="s">
        <v>116</v>
      </c>
      <c r="Z55" t="s">
        <v>117</v>
      </c>
      <c r="AA55" t="s">
        <v>87</v>
      </c>
      <c r="AB55" t="s">
        <v>118</v>
      </c>
      <c r="AC55" t="s">
        <v>119</v>
      </c>
      <c r="AD55" t="s">
        <v>120</v>
      </c>
      <c r="AE55" t="s">
        <v>121</v>
      </c>
      <c r="AF55" t="s">
        <v>122</v>
      </c>
      <c r="AG55">
        <v>135</v>
      </c>
      <c r="AH55">
        <v>0</v>
      </c>
      <c r="AI55">
        <v>0</v>
      </c>
      <c r="AJ55">
        <v>1</v>
      </c>
      <c r="AK55">
        <v>3</v>
      </c>
      <c r="AL55" t="s">
        <v>93</v>
      </c>
      <c r="AM55" t="s">
        <v>94</v>
      </c>
      <c r="AN55" t="s">
        <v>95</v>
      </c>
      <c r="AO55" t="s">
        <v>74</v>
      </c>
      <c r="AP55" t="s">
        <v>123</v>
      </c>
      <c r="AQ55" t="s">
        <v>74</v>
      </c>
      <c r="AR55" t="s">
        <v>124</v>
      </c>
      <c r="AS55" t="s">
        <v>125</v>
      </c>
      <c r="AT55" t="s">
        <v>126</v>
      </c>
      <c r="AU55">
        <v>2022</v>
      </c>
      <c r="AV55">
        <v>15</v>
      </c>
      <c r="AW55">
        <v>6</v>
      </c>
      <c r="AX55" t="s">
        <v>74</v>
      </c>
      <c r="AY55" t="s">
        <v>74</v>
      </c>
      <c r="AZ55" t="s">
        <v>74</v>
      </c>
      <c r="BA55" t="s">
        <v>74</v>
      </c>
      <c r="BB55" t="s">
        <v>74</v>
      </c>
      <c r="BC55" t="s">
        <v>74</v>
      </c>
      <c r="BD55">
        <v>687</v>
      </c>
      <c r="BE55" t="s">
        <v>127</v>
      </c>
      <c r="BF55" t="str">
        <f>HYPERLINK("http://dx.doi.org/10.3390/ph15060687","http://dx.doi.org/10.3390/ph15060687")</f>
        <v>http://dx.doi.org/10.3390/ph15060687</v>
      </c>
      <c r="BG55" t="s">
        <v>74</v>
      </c>
      <c r="BH55" t="s">
        <v>74</v>
      </c>
      <c r="BI55">
        <v>34</v>
      </c>
      <c r="BJ55" t="s">
        <v>128</v>
      </c>
      <c r="BK55" t="s">
        <v>102</v>
      </c>
      <c r="BL55" t="s">
        <v>129</v>
      </c>
      <c r="BM55" t="s">
        <v>130</v>
      </c>
      <c r="BN55">
        <v>35745607</v>
      </c>
      <c r="BO55" t="s">
        <v>131</v>
      </c>
      <c r="BP55" t="s">
        <v>74</v>
      </c>
      <c r="BQ55" t="s">
        <v>74</v>
      </c>
      <c r="BR55" t="s">
        <v>105</v>
      </c>
      <c r="BS55" t="s">
        <v>132</v>
      </c>
      <c r="BT55" t="str">
        <f>HYPERLINK("https%3A%2F%2Fwww.webofscience.com%2Fwos%2Fwoscc%2Ffull-record%2FWOS:000816669900001","View Full Record in Web of Science")</f>
        <v>View Full Record in Web of Science</v>
      </c>
    </row>
    <row r="56" spans="1:72" x14ac:dyDescent="0.2">
      <c r="A56" t="s">
        <v>72</v>
      </c>
      <c r="B56" t="s">
        <v>1533</v>
      </c>
      <c r="C56" t="s">
        <v>74</v>
      </c>
      <c r="D56" t="s">
        <v>74</v>
      </c>
      <c r="E56" t="s">
        <v>74</v>
      </c>
      <c r="F56" t="s">
        <v>1534</v>
      </c>
      <c r="G56" t="s">
        <v>74</v>
      </c>
      <c r="H56" t="s">
        <v>74</v>
      </c>
      <c r="I56" t="s">
        <v>1535</v>
      </c>
      <c r="J56" t="s">
        <v>1536</v>
      </c>
      <c r="K56" t="s">
        <v>74</v>
      </c>
      <c r="L56" t="s">
        <v>74</v>
      </c>
      <c r="M56" t="s">
        <v>78</v>
      </c>
      <c r="N56" t="s">
        <v>79</v>
      </c>
      <c r="O56" t="s">
        <v>74</v>
      </c>
      <c r="P56" t="s">
        <v>74</v>
      </c>
      <c r="Q56" t="s">
        <v>74</v>
      </c>
      <c r="R56" t="s">
        <v>74</v>
      </c>
      <c r="S56" t="s">
        <v>74</v>
      </c>
      <c r="T56" t="s">
        <v>1537</v>
      </c>
      <c r="U56" t="s">
        <v>1538</v>
      </c>
      <c r="V56" t="s">
        <v>1539</v>
      </c>
      <c r="W56" s="1" t="s">
        <v>1540</v>
      </c>
      <c r="X56" t="s">
        <v>84</v>
      </c>
      <c r="Y56" t="s">
        <v>1541</v>
      </c>
      <c r="Z56" t="s">
        <v>1542</v>
      </c>
      <c r="AA56" t="s">
        <v>1543</v>
      </c>
      <c r="AB56" t="s">
        <v>1544</v>
      </c>
      <c r="AC56" t="s">
        <v>74</v>
      </c>
      <c r="AD56" t="s">
        <v>74</v>
      </c>
      <c r="AE56" t="s">
        <v>74</v>
      </c>
      <c r="AF56" t="s">
        <v>1545</v>
      </c>
      <c r="AG56">
        <v>68</v>
      </c>
      <c r="AH56">
        <v>3</v>
      </c>
      <c r="AI56">
        <v>3</v>
      </c>
      <c r="AJ56">
        <v>8</v>
      </c>
      <c r="AK56">
        <v>16</v>
      </c>
      <c r="AL56" t="s">
        <v>263</v>
      </c>
      <c r="AM56" t="s">
        <v>264</v>
      </c>
      <c r="AN56" t="s">
        <v>265</v>
      </c>
      <c r="AO56" t="s">
        <v>1546</v>
      </c>
      <c r="AP56" t="s">
        <v>1547</v>
      </c>
      <c r="AQ56" t="s">
        <v>74</v>
      </c>
      <c r="AR56" t="s">
        <v>1548</v>
      </c>
      <c r="AS56" t="s">
        <v>1549</v>
      </c>
      <c r="AT56" t="s">
        <v>1162</v>
      </c>
      <c r="AU56">
        <v>2022</v>
      </c>
      <c r="AV56">
        <v>182</v>
      </c>
      <c r="AW56" t="s">
        <v>74</v>
      </c>
      <c r="AX56" t="s">
        <v>74</v>
      </c>
      <c r="AY56" t="s">
        <v>74</v>
      </c>
      <c r="AZ56" t="s">
        <v>74</v>
      </c>
      <c r="BA56" t="s">
        <v>74</v>
      </c>
      <c r="BB56" t="s">
        <v>74</v>
      </c>
      <c r="BC56" t="s">
        <v>74</v>
      </c>
      <c r="BD56">
        <v>105538</v>
      </c>
      <c r="BE56" t="s">
        <v>1550</v>
      </c>
      <c r="BF56" t="str">
        <f>HYPERLINK("http://dx.doi.org/10.1016/j.supflu.2022.105538","http://dx.doi.org/10.1016/j.supflu.2022.105538")</f>
        <v>http://dx.doi.org/10.1016/j.supflu.2022.105538</v>
      </c>
      <c r="BG56" t="s">
        <v>74</v>
      </c>
      <c r="BH56" t="s">
        <v>1214</v>
      </c>
      <c r="BI56">
        <v>10</v>
      </c>
      <c r="BJ56" t="s">
        <v>1551</v>
      </c>
      <c r="BK56" t="s">
        <v>102</v>
      </c>
      <c r="BL56" t="s">
        <v>1189</v>
      </c>
      <c r="BM56" t="s">
        <v>1552</v>
      </c>
      <c r="BN56" t="s">
        <v>74</v>
      </c>
      <c r="BO56" t="s">
        <v>74</v>
      </c>
      <c r="BP56" t="s">
        <v>74</v>
      </c>
      <c r="BQ56" t="s">
        <v>74</v>
      </c>
      <c r="BR56" t="s">
        <v>105</v>
      </c>
      <c r="BS56" t="s">
        <v>1553</v>
      </c>
      <c r="BT56" t="str">
        <f>HYPERLINK("https%3A%2F%2Fwww.webofscience.com%2Fwos%2Fwoscc%2Ffull-record%2FWOS:000780387500004","View Full Record in Web of Science")</f>
        <v>View Full Record in Web of Science</v>
      </c>
    </row>
    <row r="57" spans="1:72" x14ac:dyDescent="0.2">
      <c r="A57" t="s">
        <v>72</v>
      </c>
      <c r="B57" t="s">
        <v>5508</v>
      </c>
      <c r="C57" t="s">
        <v>74</v>
      </c>
      <c r="D57" t="s">
        <v>74</v>
      </c>
      <c r="E57" t="s">
        <v>74</v>
      </c>
      <c r="F57" t="s">
        <v>5509</v>
      </c>
      <c r="G57" t="s">
        <v>74</v>
      </c>
      <c r="H57" t="s">
        <v>74</v>
      </c>
      <c r="I57" t="s">
        <v>5510</v>
      </c>
      <c r="J57" t="s">
        <v>3795</v>
      </c>
      <c r="K57" t="s">
        <v>74</v>
      </c>
      <c r="L57" t="s">
        <v>74</v>
      </c>
      <c r="M57" t="s">
        <v>78</v>
      </c>
      <c r="N57" t="s">
        <v>79</v>
      </c>
      <c r="O57" t="s">
        <v>74</v>
      </c>
      <c r="P57" t="s">
        <v>74</v>
      </c>
      <c r="Q57" t="s">
        <v>74</v>
      </c>
      <c r="R57" t="s">
        <v>74</v>
      </c>
      <c r="S57" t="s">
        <v>74</v>
      </c>
      <c r="T57" t="s">
        <v>5511</v>
      </c>
      <c r="U57" t="s">
        <v>74</v>
      </c>
      <c r="V57" t="s">
        <v>5512</v>
      </c>
      <c r="W57" s="1" t="s">
        <v>5513</v>
      </c>
      <c r="X57" t="s">
        <v>946</v>
      </c>
      <c r="Y57" t="s">
        <v>5514</v>
      </c>
      <c r="Z57" t="s">
        <v>5515</v>
      </c>
      <c r="AA57" t="s">
        <v>74</v>
      </c>
      <c r="AB57" t="s">
        <v>5516</v>
      </c>
      <c r="AC57" t="s">
        <v>5517</v>
      </c>
      <c r="AD57" t="s">
        <v>5517</v>
      </c>
      <c r="AE57" t="s">
        <v>5518</v>
      </c>
      <c r="AF57" t="s">
        <v>5519</v>
      </c>
      <c r="AG57">
        <v>40</v>
      </c>
      <c r="AH57">
        <v>0</v>
      </c>
      <c r="AI57">
        <v>0</v>
      </c>
      <c r="AJ57">
        <v>4</v>
      </c>
      <c r="AK57">
        <v>4</v>
      </c>
      <c r="AL57" t="s">
        <v>93</v>
      </c>
      <c r="AM57" t="s">
        <v>94</v>
      </c>
      <c r="AN57" t="s">
        <v>95</v>
      </c>
      <c r="AO57" t="s">
        <v>74</v>
      </c>
      <c r="AP57" t="s">
        <v>3804</v>
      </c>
      <c r="AQ57" t="s">
        <v>74</v>
      </c>
      <c r="AR57" t="s">
        <v>3795</v>
      </c>
      <c r="AS57" t="s">
        <v>3805</v>
      </c>
      <c r="AT57" t="s">
        <v>1029</v>
      </c>
      <c r="AU57">
        <v>2023</v>
      </c>
      <c r="AV57">
        <v>9</v>
      </c>
      <c r="AW57">
        <v>2</v>
      </c>
      <c r="AX57" t="s">
        <v>74</v>
      </c>
      <c r="AY57" t="s">
        <v>74</v>
      </c>
      <c r="AZ57" t="s">
        <v>74</v>
      </c>
      <c r="BA57" t="s">
        <v>74</v>
      </c>
      <c r="BB57" t="s">
        <v>74</v>
      </c>
      <c r="BC57" t="s">
        <v>74</v>
      </c>
      <c r="BD57">
        <v>177</v>
      </c>
      <c r="BE57" t="s">
        <v>5520</v>
      </c>
      <c r="BF57" t="str">
        <f>HYPERLINK("http://dx.doi.org/10.3390/horticulturae9020177","http://dx.doi.org/10.3390/horticulturae9020177")</f>
        <v>http://dx.doi.org/10.3390/horticulturae9020177</v>
      </c>
      <c r="BG57" t="s">
        <v>74</v>
      </c>
      <c r="BH57" t="s">
        <v>74</v>
      </c>
      <c r="BI57">
        <v>14</v>
      </c>
      <c r="BJ57" t="s">
        <v>159</v>
      </c>
      <c r="BK57" t="s">
        <v>102</v>
      </c>
      <c r="BL57" t="s">
        <v>160</v>
      </c>
      <c r="BM57" t="s">
        <v>5521</v>
      </c>
      <c r="BN57" t="s">
        <v>74</v>
      </c>
      <c r="BO57" t="s">
        <v>190</v>
      </c>
      <c r="BP57" t="s">
        <v>74</v>
      </c>
      <c r="BQ57" t="s">
        <v>74</v>
      </c>
      <c r="BR57" t="s">
        <v>105</v>
      </c>
      <c r="BS57" t="s">
        <v>5522</v>
      </c>
      <c r="BT57" t="str">
        <f>HYPERLINK("https%3A%2F%2Fwww.webofscience.com%2Fwos%2Fwoscc%2Ffull-record%2FWOS:000939315100001","View Full Record in Web of Science")</f>
        <v>View Full Record in Web of Science</v>
      </c>
    </row>
    <row r="58" spans="1:72" x14ac:dyDescent="0.2">
      <c r="A58" t="s">
        <v>72</v>
      </c>
      <c r="B58" t="s">
        <v>1193</v>
      </c>
      <c r="C58" t="s">
        <v>74</v>
      </c>
      <c r="D58" t="s">
        <v>74</v>
      </c>
      <c r="E58" t="s">
        <v>74</v>
      </c>
      <c r="F58" t="s">
        <v>1194</v>
      </c>
      <c r="G58" t="s">
        <v>74</v>
      </c>
      <c r="H58" t="s">
        <v>74</v>
      </c>
      <c r="I58" t="s">
        <v>1195</v>
      </c>
      <c r="J58" t="s">
        <v>1196</v>
      </c>
      <c r="K58" t="s">
        <v>74</v>
      </c>
      <c r="L58" t="s">
        <v>74</v>
      </c>
      <c r="M58" t="s">
        <v>78</v>
      </c>
      <c r="N58" t="s">
        <v>79</v>
      </c>
      <c r="O58" t="s">
        <v>74</v>
      </c>
      <c r="P58" t="s">
        <v>74</v>
      </c>
      <c r="Q58" t="s">
        <v>74</v>
      </c>
      <c r="R58" t="s">
        <v>74</v>
      </c>
      <c r="S58" t="s">
        <v>74</v>
      </c>
      <c r="T58" t="s">
        <v>1197</v>
      </c>
      <c r="U58" t="s">
        <v>1198</v>
      </c>
      <c r="V58" t="s">
        <v>1199</v>
      </c>
      <c r="W58" s="1" t="s">
        <v>1200</v>
      </c>
      <c r="X58" t="s">
        <v>1201</v>
      </c>
      <c r="Y58" t="s">
        <v>1202</v>
      </c>
      <c r="Z58" t="s">
        <v>1203</v>
      </c>
      <c r="AA58" t="s">
        <v>74</v>
      </c>
      <c r="AB58" t="s">
        <v>74</v>
      </c>
      <c r="AC58" t="s">
        <v>1204</v>
      </c>
      <c r="AD58" t="s">
        <v>1205</v>
      </c>
      <c r="AE58" t="s">
        <v>1206</v>
      </c>
      <c r="AF58" t="s">
        <v>1207</v>
      </c>
      <c r="AG58">
        <v>66</v>
      </c>
      <c r="AH58">
        <v>0</v>
      </c>
      <c r="AI58">
        <v>0</v>
      </c>
      <c r="AJ58">
        <v>4</v>
      </c>
      <c r="AK58">
        <v>9</v>
      </c>
      <c r="AL58" t="s">
        <v>619</v>
      </c>
      <c r="AM58" t="s">
        <v>620</v>
      </c>
      <c r="AN58" t="s">
        <v>621</v>
      </c>
      <c r="AO58" t="s">
        <v>1208</v>
      </c>
      <c r="AP58" t="s">
        <v>1209</v>
      </c>
      <c r="AQ58" t="s">
        <v>74</v>
      </c>
      <c r="AR58" t="s">
        <v>1210</v>
      </c>
      <c r="AS58" t="s">
        <v>1211</v>
      </c>
      <c r="AT58" t="s">
        <v>1212</v>
      </c>
      <c r="AU58">
        <v>2022</v>
      </c>
      <c r="AV58">
        <v>256</v>
      </c>
      <c r="AW58" t="s">
        <v>74</v>
      </c>
      <c r="AX58" t="s">
        <v>74</v>
      </c>
      <c r="AY58" t="s">
        <v>74</v>
      </c>
      <c r="AZ58" t="s">
        <v>74</v>
      </c>
      <c r="BA58" t="s">
        <v>74</v>
      </c>
      <c r="BB58" t="s">
        <v>74</v>
      </c>
      <c r="BC58" t="s">
        <v>74</v>
      </c>
      <c r="BD58">
        <v>113997</v>
      </c>
      <c r="BE58" t="s">
        <v>1213</v>
      </c>
      <c r="BF58" t="str">
        <f>HYPERLINK("http://dx.doi.org/10.1016/j.engstruct.2022.113997","http://dx.doi.org/10.1016/j.engstruct.2022.113997")</f>
        <v>http://dx.doi.org/10.1016/j.engstruct.2022.113997</v>
      </c>
      <c r="BG58" t="s">
        <v>74</v>
      </c>
      <c r="BH58" t="s">
        <v>1214</v>
      </c>
      <c r="BI58">
        <v>19</v>
      </c>
      <c r="BJ58" t="s">
        <v>1215</v>
      </c>
      <c r="BK58" t="s">
        <v>102</v>
      </c>
      <c r="BL58" t="s">
        <v>324</v>
      </c>
      <c r="BM58" t="s">
        <v>1216</v>
      </c>
      <c r="BN58" t="s">
        <v>74</v>
      </c>
      <c r="BO58" t="s">
        <v>74</v>
      </c>
      <c r="BP58" t="s">
        <v>74</v>
      </c>
      <c r="BQ58" t="s">
        <v>74</v>
      </c>
      <c r="BR58" t="s">
        <v>105</v>
      </c>
      <c r="BS58" t="s">
        <v>1217</v>
      </c>
      <c r="BT58" t="str">
        <f>HYPERLINK("https%3A%2F%2Fwww.webofscience.com%2Fwos%2Fwoscc%2Ffull-record%2FWOS:000772608300001","View Full Record in Web of Science")</f>
        <v>View Full Record in Web of Science</v>
      </c>
    </row>
    <row r="59" spans="1:72" x14ac:dyDescent="0.2">
      <c r="A59" t="s">
        <v>72</v>
      </c>
      <c r="B59" t="s">
        <v>2821</v>
      </c>
      <c r="C59" t="s">
        <v>74</v>
      </c>
      <c r="D59" t="s">
        <v>74</v>
      </c>
      <c r="E59" t="s">
        <v>74</v>
      </c>
      <c r="F59" t="s">
        <v>2822</v>
      </c>
      <c r="G59" t="s">
        <v>74</v>
      </c>
      <c r="H59" t="s">
        <v>74</v>
      </c>
      <c r="I59" t="s">
        <v>2823</v>
      </c>
      <c r="J59" t="s">
        <v>2824</v>
      </c>
      <c r="K59" t="s">
        <v>74</v>
      </c>
      <c r="L59" t="s">
        <v>74</v>
      </c>
      <c r="M59" t="s">
        <v>78</v>
      </c>
      <c r="N59" t="s">
        <v>167</v>
      </c>
      <c r="O59" t="s">
        <v>74</v>
      </c>
      <c r="P59" t="s">
        <v>74</v>
      </c>
      <c r="Q59" t="s">
        <v>74</v>
      </c>
      <c r="R59" t="s">
        <v>74</v>
      </c>
      <c r="S59" t="s">
        <v>74</v>
      </c>
      <c r="T59" t="s">
        <v>2825</v>
      </c>
      <c r="U59" t="s">
        <v>2826</v>
      </c>
      <c r="V59" t="s">
        <v>2827</v>
      </c>
      <c r="W59" s="1" t="s">
        <v>2828</v>
      </c>
      <c r="X59" t="s">
        <v>2829</v>
      </c>
      <c r="Y59" t="s">
        <v>2830</v>
      </c>
      <c r="Z59" t="s">
        <v>2831</v>
      </c>
      <c r="AA59" t="s">
        <v>403</v>
      </c>
      <c r="AB59" t="s">
        <v>2832</v>
      </c>
      <c r="AC59" t="s">
        <v>2833</v>
      </c>
      <c r="AD59" t="s">
        <v>2834</v>
      </c>
      <c r="AE59" t="s">
        <v>2835</v>
      </c>
      <c r="AF59" t="s">
        <v>2836</v>
      </c>
      <c r="AG59">
        <v>204</v>
      </c>
      <c r="AH59">
        <v>1</v>
      </c>
      <c r="AI59">
        <v>1</v>
      </c>
      <c r="AJ59">
        <v>8</v>
      </c>
      <c r="AK59">
        <v>13</v>
      </c>
      <c r="AL59" t="s">
        <v>2837</v>
      </c>
      <c r="AM59" t="s">
        <v>2838</v>
      </c>
      <c r="AN59" t="s">
        <v>2839</v>
      </c>
      <c r="AO59" t="s">
        <v>2840</v>
      </c>
      <c r="AP59" t="s">
        <v>2841</v>
      </c>
      <c r="AQ59" t="s">
        <v>74</v>
      </c>
      <c r="AR59" t="s">
        <v>2842</v>
      </c>
      <c r="AS59" t="s">
        <v>2843</v>
      </c>
      <c r="AT59" t="s">
        <v>2844</v>
      </c>
      <c r="AU59">
        <v>2022</v>
      </c>
      <c r="AV59">
        <v>11</v>
      </c>
      <c r="AW59">
        <v>1</v>
      </c>
      <c r="AX59" t="s">
        <v>74</v>
      </c>
      <c r="AY59" t="s">
        <v>74</v>
      </c>
      <c r="AZ59" t="s">
        <v>74</v>
      </c>
      <c r="BA59" t="s">
        <v>74</v>
      </c>
      <c r="BB59">
        <v>766</v>
      </c>
      <c r="BC59">
        <v>809</v>
      </c>
      <c r="BD59" t="s">
        <v>74</v>
      </c>
      <c r="BE59" t="s">
        <v>2845</v>
      </c>
      <c r="BF59" t="str">
        <f>HYPERLINK("http://dx.doi.org/10.1515/gps-2022-0068","http://dx.doi.org/10.1515/gps-2022-0068")</f>
        <v>http://dx.doi.org/10.1515/gps-2022-0068</v>
      </c>
      <c r="BG59" t="s">
        <v>74</v>
      </c>
      <c r="BH59" t="s">
        <v>74</v>
      </c>
      <c r="BI59">
        <v>44</v>
      </c>
      <c r="BJ59" t="s">
        <v>1390</v>
      </c>
      <c r="BK59" t="s">
        <v>102</v>
      </c>
      <c r="BL59" t="s">
        <v>1391</v>
      </c>
      <c r="BM59" t="s">
        <v>2846</v>
      </c>
      <c r="BN59" t="s">
        <v>74</v>
      </c>
      <c r="BO59" t="s">
        <v>190</v>
      </c>
      <c r="BP59" t="s">
        <v>74</v>
      </c>
      <c r="BQ59" t="s">
        <v>74</v>
      </c>
      <c r="BR59" t="s">
        <v>105</v>
      </c>
      <c r="BS59" t="s">
        <v>2847</v>
      </c>
      <c r="BT59" t="str">
        <f>HYPERLINK("https%3A%2F%2Fwww.webofscience.com%2Fwos%2Fwoscc%2Ffull-record%2FWOS:000840875600002","View Full Record in Web of Science")</f>
        <v>View Full Record in Web of Science</v>
      </c>
    </row>
    <row r="60" spans="1:72" x14ac:dyDescent="0.2">
      <c r="A60" t="s">
        <v>72</v>
      </c>
      <c r="B60" t="s">
        <v>3898</v>
      </c>
      <c r="C60" t="s">
        <v>74</v>
      </c>
      <c r="D60" t="s">
        <v>74</v>
      </c>
      <c r="E60" t="s">
        <v>74</v>
      </c>
      <c r="F60" t="s">
        <v>3899</v>
      </c>
      <c r="G60" t="s">
        <v>74</v>
      </c>
      <c r="H60" t="s">
        <v>74</v>
      </c>
      <c r="I60" t="s">
        <v>3900</v>
      </c>
      <c r="J60" t="s">
        <v>3901</v>
      </c>
      <c r="K60" t="s">
        <v>74</v>
      </c>
      <c r="L60" t="s">
        <v>74</v>
      </c>
      <c r="M60" t="s">
        <v>78</v>
      </c>
      <c r="N60" t="s">
        <v>137</v>
      </c>
      <c r="O60" t="s">
        <v>74</v>
      </c>
      <c r="P60" t="s">
        <v>74</v>
      </c>
      <c r="Q60" t="s">
        <v>74</v>
      </c>
      <c r="R60" t="s">
        <v>74</v>
      </c>
      <c r="S60" t="s">
        <v>74</v>
      </c>
      <c r="T60" t="s">
        <v>3902</v>
      </c>
      <c r="U60" t="s">
        <v>3903</v>
      </c>
      <c r="V60" t="s">
        <v>3904</v>
      </c>
      <c r="W60" s="1" t="s">
        <v>3905</v>
      </c>
      <c r="X60" t="s">
        <v>3906</v>
      </c>
      <c r="Y60" t="s">
        <v>3907</v>
      </c>
      <c r="Z60" t="s">
        <v>3908</v>
      </c>
      <c r="AA60" t="s">
        <v>3909</v>
      </c>
      <c r="AB60" t="s">
        <v>3910</v>
      </c>
      <c r="AC60" t="s">
        <v>3911</v>
      </c>
      <c r="AD60" t="s">
        <v>3912</v>
      </c>
      <c r="AE60" t="s">
        <v>3913</v>
      </c>
      <c r="AF60" t="s">
        <v>3914</v>
      </c>
      <c r="AG60">
        <v>53</v>
      </c>
      <c r="AH60">
        <v>1</v>
      </c>
      <c r="AI60">
        <v>1</v>
      </c>
      <c r="AJ60">
        <v>5</v>
      </c>
      <c r="AK60">
        <v>5</v>
      </c>
      <c r="AL60" t="s">
        <v>150</v>
      </c>
      <c r="AM60" t="s">
        <v>151</v>
      </c>
      <c r="AN60" t="s">
        <v>152</v>
      </c>
      <c r="AO60" t="s">
        <v>3915</v>
      </c>
      <c r="AP60" t="s">
        <v>3916</v>
      </c>
      <c r="AQ60" t="s">
        <v>74</v>
      </c>
      <c r="AR60" t="s">
        <v>3917</v>
      </c>
      <c r="AS60" t="s">
        <v>3918</v>
      </c>
      <c r="AT60" t="s">
        <v>3919</v>
      </c>
      <c r="AU60">
        <v>2022</v>
      </c>
      <c r="AV60" t="s">
        <v>74</v>
      </c>
      <c r="AW60" t="s">
        <v>74</v>
      </c>
      <c r="AX60" t="s">
        <v>74</v>
      </c>
      <c r="AY60" t="s">
        <v>74</v>
      </c>
      <c r="AZ60" t="s">
        <v>74</v>
      </c>
      <c r="BA60" t="s">
        <v>74</v>
      </c>
      <c r="BB60" t="s">
        <v>74</v>
      </c>
      <c r="BC60" t="s">
        <v>74</v>
      </c>
      <c r="BD60" t="s">
        <v>74</v>
      </c>
      <c r="BE60" t="s">
        <v>3920</v>
      </c>
      <c r="BF60" t="str">
        <f>HYPERLINK("http://dx.doi.org/10.1007/s10884-022-10193-8","http://dx.doi.org/10.1007/s10884-022-10193-8")</f>
        <v>http://dx.doi.org/10.1007/s10884-022-10193-8</v>
      </c>
      <c r="BG60" t="s">
        <v>74</v>
      </c>
      <c r="BH60" t="s">
        <v>501</v>
      </c>
      <c r="BI60">
        <v>47</v>
      </c>
      <c r="BJ60" t="s">
        <v>3121</v>
      </c>
      <c r="BK60" t="s">
        <v>102</v>
      </c>
      <c r="BL60" t="s">
        <v>576</v>
      </c>
      <c r="BM60" t="s">
        <v>3921</v>
      </c>
      <c r="BN60" t="s">
        <v>74</v>
      </c>
      <c r="BO60" t="s">
        <v>74</v>
      </c>
      <c r="BP60" t="s">
        <v>74</v>
      </c>
      <c r="BQ60" t="s">
        <v>74</v>
      </c>
      <c r="BR60" t="s">
        <v>105</v>
      </c>
      <c r="BS60" t="s">
        <v>3922</v>
      </c>
      <c r="BT60" t="str">
        <f>HYPERLINK("https%3A%2F%2Fwww.webofscience.com%2Fwos%2Fwoscc%2Ffull-record%2FWOS:000829687200002","View Full Record in Web of Science")</f>
        <v>View Full Record in Web of Science</v>
      </c>
    </row>
    <row r="61" spans="1:72" x14ac:dyDescent="0.2">
      <c r="A61" t="s">
        <v>72</v>
      </c>
      <c r="B61" t="s">
        <v>4763</v>
      </c>
      <c r="C61" t="s">
        <v>74</v>
      </c>
      <c r="D61" t="s">
        <v>74</v>
      </c>
      <c r="E61" t="s">
        <v>74</v>
      </c>
      <c r="F61" t="s">
        <v>4764</v>
      </c>
      <c r="G61" t="s">
        <v>74</v>
      </c>
      <c r="H61" t="s">
        <v>74</v>
      </c>
      <c r="I61" t="s">
        <v>4765</v>
      </c>
      <c r="J61" t="s">
        <v>4766</v>
      </c>
      <c r="K61" t="s">
        <v>74</v>
      </c>
      <c r="L61" t="s">
        <v>74</v>
      </c>
      <c r="M61" t="s">
        <v>78</v>
      </c>
      <c r="N61" t="s">
        <v>79</v>
      </c>
      <c r="O61" t="s">
        <v>74</v>
      </c>
      <c r="P61" t="s">
        <v>74</v>
      </c>
      <c r="Q61" t="s">
        <v>74</v>
      </c>
      <c r="R61" t="s">
        <v>74</v>
      </c>
      <c r="S61" t="s">
        <v>74</v>
      </c>
      <c r="T61" t="s">
        <v>4767</v>
      </c>
      <c r="U61" t="s">
        <v>4768</v>
      </c>
      <c r="V61" t="s">
        <v>4769</v>
      </c>
      <c r="W61" s="1" t="s">
        <v>4770</v>
      </c>
      <c r="X61" t="s">
        <v>4251</v>
      </c>
      <c r="Y61" t="s">
        <v>4771</v>
      </c>
      <c r="Z61" t="s">
        <v>4772</v>
      </c>
      <c r="AA61" t="s">
        <v>74</v>
      </c>
      <c r="AB61" t="s">
        <v>74</v>
      </c>
      <c r="AC61" t="s">
        <v>74</v>
      </c>
      <c r="AD61" t="s">
        <v>74</v>
      </c>
      <c r="AE61" t="s">
        <v>74</v>
      </c>
      <c r="AF61" t="s">
        <v>4773</v>
      </c>
      <c r="AG61">
        <v>17</v>
      </c>
      <c r="AH61">
        <v>0</v>
      </c>
      <c r="AI61">
        <v>0</v>
      </c>
      <c r="AJ61">
        <v>0</v>
      </c>
      <c r="AK61">
        <v>3</v>
      </c>
      <c r="AL61" t="s">
        <v>4774</v>
      </c>
      <c r="AM61" t="s">
        <v>1893</v>
      </c>
      <c r="AN61" t="s">
        <v>4775</v>
      </c>
      <c r="AO61" t="s">
        <v>4776</v>
      </c>
      <c r="AP61" t="s">
        <v>4777</v>
      </c>
      <c r="AQ61" t="s">
        <v>74</v>
      </c>
      <c r="AR61" t="s">
        <v>4778</v>
      </c>
      <c r="AS61" t="s">
        <v>4779</v>
      </c>
      <c r="AT61" t="s">
        <v>4780</v>
      </c>
      <c r="AU61">
        <v>2022</v>
      </c>
      <c r="AV61">
        <v>22</v>
      </c>
      <c r="AW61">
        <v>1</v>
      </c>
      <c r="AX61" t="s">
        <v>74</v>
      </c>
      <c r="AY61" t="s">
        <v>74</v>
      </c>
      <c r="AZ61" t="s">
        <v>74</v>
      </c>
      <c r="BA61" t="s">
        <v>74</v>
      </c>
      <c r="BB61">
        <v>95</v>
      </c>
      <c r="BC61">
        <v>103</v>
      </c>
      <c r="BD61" t="s">
        <v>74</v>
      </c>
      <c r="BE61" t="s">
        <v>4781</v>
      </c>
      <c r="BF61" t="str">
        <f>HYPERLINK("http://dx.doi.org/10.2478/cait-2022-0006","http://dx.doi.org/10.2478/cait-2022-0006")</f>
        <v>http://dx.doi.org/10.2478/cait-2022-0006</v>
      </c>
      <c r="BG61" t="s">
        <v>74</v>
      </c>
      <c r="BH61" t="s">
        <v>74</v>
      </c>
      <c r="BI61">
        <v>9</v>
      </c>
      <c r="BJ61" t="s">
        <v>4782</v>
      </c>
      <c r="BK61" t="s">
        <v>187</v>
      </c>
      <c r="BL61" t="s">
        <v>1271</v>
      </c>
      <c r="BM61" t="s">
        <v>4783</v>
      </c>
      <c r="BN61" t="s">
        <v>74</v>
      </c>
      <c r="BO61" t="s">
        <v>190</v>
      </c>
      <c r="BP61" t="s">
        <v>74</v>
      </c>
      <c r="BQ61" t="s">
        <v>74</v>
      </c>
      <c r="BR61" t="s">
        <v>105</v>
      </c>
      <c r="BS61" t="s">
        <v>4784</v>
      </c>
      <c r="BT61" t="str">
        <f>HYPERLINK("https%3A%2F%2Fwww.webofscience.com%2Fwos%2Fwoscc%2Ffull-record%2FWOS:000780009500006","View Full Record in Web of Science")</f>
        <v>View Full Record in Web of Science</v>
      </c>
    </row>
    <row r="62" spans="1:72" x14ac:dyDescent="0.2">
      <c r="A62" t="s">
        <v>72</v>
      </c>
      <c r="B62" t="s">
        <v>5063</v>
      </c>
      <c r="C62" t="s">
        <v>74</v>
      </c>
      <c r="D62" t="s">
        <v>74</v>
      </c>
      <c r="E62" t="s">
        <v>74</v>
      </c>
      <c r="F62" t="s">
        <v>5064</v>
      </c>
      <c r="G62" t="s">
        <v>74</v>
      </c>
      <c r="H62" t="s">
        <v>74</v>
      </c>
      <c r="I62" t="s">
        <v>5065</v>
      </c>
      <c r="J62" t="s">
        <v>5066</v>
      </c>
      <c r="K62" t="s">
        <v>74</v>
      </c>
      <c r="L62" t="s">
        <v>74</v>
      </c>
      <c r="M62" t="s">
        <v>78</v>
      </c>
      <c r="N62" t="s">
        <v>79</v>
      </c>
      <c r="O62" t="s">
        <v>74</v>
      </c>
      <c r="P62" t="s">
        <v>74</v>
      </c>
      <c r="Q62" t="s">
        <v>74</v>
      </c>
      <c r="R62" t="s">
        <v>74</v>
      </c>
      <c r="S62" t="s">
        <v>74</v>
      </c>
      <c r="T62" t="s">
        <v>5067</v>
      </c>
      <c r="U62" t="s">
        <v>5068</v>
      </c>
      <c r="V62" t="s">
        <v>5069</v>
      </c>
      <c r="W62" s="1" t="s">
        <v>5070</v>
      </c>
      <c r="X62" t="s">
        <v>5071</v>
      </c>
      <c r="Y62" t="s">
        <v>5072</v>
      </c>
      <c r="Z62" t="s">
        <v>5073</v>
      </c>
      <c r="AA62" t="s">
        <v>5074</v>
      </c>
      <c r="AB62" t="s">
        <v>5075</v>
      </c>
      <c r="AC62" t="s">
        <v>5076</v>
      </c>
      <c r="AD62" t="s">
        <v>5077</v>
      </c>
      <c r="AE62" t="s">
        <v>5078</v>
      </c>
      <c r="AF62" t="s">
        <v>5079</v>
      </c>
      <c r="AG62">
        <v>76</v>
      </c>
      <c r="AH62">
        <v>0</v>
      </c>
      <c r="AI62">
        <v>0</v>
      </c>
      <c r="AJ62">
        <v>11</v>
      </c>
      <c r="AK62">
        <v>17</v>
      </c>
      <c r="AL62" t="s">
        <v>437</v>
      </c>
      <c r="AM62" t="s">
        <v>151</v>
      </c>
      <c r="AN62" t="s">
        <v>4845</v>
      </c>
      <c r="AO62" t="s">
        <v>5080</v>
      </c>
      <c r="AP62" t="s">
        <v>5081</v>
      </c>
      <c r="AQ62" t="s">
        <v>74</v>
      </c>
      <c r="AR62" t="s">
        <v>5082</v>
      </c>
      <c r="AS62" t="s">
        <v>5083</v>
      </c>
      <c r="AT62" t="s">
        <v>5084</v>
      </c>
      <c r="AU62">
        <v>2022</v>
      </c>
      <c r="AV62">
        <v>25</v>
      </c>
      <c r="AW62" t="s">
        <v>74</v>
      </c>
      <c r="AX62" t="s">
        <v>74</v>
      </c>
      <c r="AY62" t="s">
        <v>74</v>
      </c>
      <c r="AZ62" t="s">
        <v>74</v>
      </c>
      <c r="BA62" t="s">
        <v>74</v>
      </c>
      <c r="BB62" t="s">
        <v>74</v>
      </c>
      <c r="BC62" t="s">
        <v>74</v>
      </c>
      <c r="BD62" t="s">
        <v>5085</v>
      </c>
      <c r="BE62" t="s">
        <v>5086</v>
      </c>
      <c r="BF62" t="str">
        <f>HYPERLINK("http://dx.doi.org/10.1017/SJP.2022.10","http://dx.doi.org/10.1017/SJP.2022.10")</f>
        <v>http://dx.doi.org/10.1017/SJP.2022.10</v>
      </c>
      <c r="BG62" t="s">
        <v>74</v>
      </c>
      <c r="BH62" t="s">
        <v>74</v>
      </c>
      <c r="BI62">
        <v>16</v>
      </c>
      <c r="BJ62" t="s">
        <v>5087</v>
      </c>
      <c r="BK62" t="s">
        <v>298</v>
      </c>
      <c r="BL62" t="s">
        <v>2201</v>
      </c>
      <c r="BM62" t="s">
        <v>5088</v>
      </c>
      <c r="BN62">
        <v>35343420</v>
      </c>
      <c r="BO62" t="s">
        <v>74</v>
      </c>
      <c r="BP62" t="s">
        <v>74</v>
      </c>
      <c r="BQ62" t="s">
        <v>74</v>
      </c>
      <c r="BR62" t="s">
        <v>105</v>
      </c>
      <c r="BS62" t="s">
        <v>5089</v>
      </c>
      <c r="BT62" t="str">
        <f>HYPERLINK("https%3A%2F%2Fwww.webofscience.com%2Fwos%2Fwoscc%2Ffull-record%2FWOS:000773490000001","View Full Record in Web of Science")</f>
        <v>View Full Record in Web of Science</v>
      </c>
    </row>
    <row r="63" spans="1:72" x14ac:dyDescent="0.2">
      <c r="A63" t="s">
        <v>72</v>
      </c>
      <c r="B63" t="s">
        <v>5843</v>
      </c>
      <c r="C63" t="s">
        <v>74</v>
      </c>
      <c r="D63" t="s">
        <v>74</v>
      </c>
      <c r="E63" t="s">
        <v>74</v>
      </c>
      <c r="F63" t="s">
        <v>5844</v>
      </c>
      <c r="G63" t="s">
        <v>74</v>
      </c>
      <c r="H63" t="s">
        <v>74</v>
      </c>
      <c r="I63" t="s">
        <v>5845</v>
      </c>
      <c r="J63" t="s">
        <v>5846</v>
      </c>
      <c r="K63" t="s">
        <v>74</v>
      </c>
      <c r="L63" t="s">
        <v>74</v>
      </c>
      <c r="M63" t="s">
        <v>78</v>
      </c>
      <c r="N63" t="s">
        <v>79</v>
      </c>
      <c r="O63" t="s">
        <v>74</v>
      </c>
      <c r="P63" t="s">
        <v>74</v>
      </c>
      <c r="Q63" t="s">
        <v>74</v>
      </c>
      <c r="R63" t="s">
        <v>74</v>
      </c>
      <c r="S63" t="s">
        <v>74</v>
      </c>
      <c r="T63" t="s">
        <v>5847</v>
      </c>
      <c r="U63" t="s">
        <v>5848</v>
      </c>
      <c r="V63" t="s">
        <v>5849</v>
      </c>
      <c r="W63" s="1" t="s">
        <v>5850</v>
      </c>
      <c r="X63" t="s">
        <v>5851</v>
      </c>
      <c r="Y63" t="s">
        <v>5852</v>
      </c>
      <c r="Z63" t="s">
        <v>5853</v>
      </c>
      <c r="AA63" t="s">
        <v>5854</v>
      </c>
      <c r="AB63" t="s">
        <v>5855</v>
      </c>
      <c r="AC63" t="s">
        <v>5856</v>
      </c>
      <c r="AD63" t="s">
        <v>5857</v>
      </c>
      <c r="AE63" t="s">
        <v>5858</v>
      </c>
      <c r="AF63" t="s">
        <v>5859</v>
      </c>
      <c r="AG63">
        <v>60</v>
      </c>
      <c r="AH63">
        <v>1</v>
      </c>
      <c r="AI63">
        <v>1</v>
      </c>
      <c r="AJ63">
        <v>0</v>
      </c>
      <c r="AK63">
        <v>2</v>
      </c>
      <c r="AL63" t="s">
        <v>546</v>
      </c>
      <c r="AM63" t="s">
        <v>547</v>
      </c>
      <c r="AN63" t="s">
        <v>548</v>
      </c>
      <c r="AO63" t="s">
        <v>74</v>
      </c>
      <c r="AP63" t="s">
        <v>5860</v>
      </c>
      <c r="AQ63" t="s">
        <v>74</v>
      </c>
      <c r="AR63" t="s">
        <v>5861</v>
      </c>
      <c r="AS63" t="s">
        <v>5862</v>
      </c>
      <c r="AT63" t="s">
        <v>5863</v>
      </c>
      <c r="AU63">
        <v>2022</v>
      </c>
      <c r="AV63">
        <v>23</v>
      </c>
      <c r="AW63">
        <v>1</v>
      </c>
      <c r="AX63" t="s">
        <v>74</v>
      </c>
      <c r="AY63" t="s">
        <v>74</v>
      </c>
      <c r="AZ63" t="s">
        <v>74</v>
      </c>
      <c r="BA63" t="s">
        <v>74</v>
      </c>
      <c r="BB63" t="s">
        <v>74</v>
      </c>
      <c r="BC63" t="s">
        <v>74</v>
      </c>
      <c r="BD63">
        <v>168</v>
      </c>
      <c r="BE63" t="s">
        <v>5864</v>
      </c>
      <c r="BF63" t="str">
        <f>HYPERLINK("http://dx.doi.org/10.1186/s12931-022-02086-7","http://dx.doi.org/10.1186/s12931-022-02086-7")</f>
        <v>http://dx.doi.org/10.1186/s12931-022-02086-7</v>
      </c>
      <c r="BG63" t="s">
        <v>74</v>
      </c>
      <c r="BH63" t="s">
        <v>74</v>
      </c>
      <c r="BI63">
        <v>11</v>
      </c>
      <c r="BJ63" t="s">
        <v>5865</v>
      </c>
      <c r="BK63" t="s">
        <v>102</v>
      </c>
      <c r="BL63" t="s">
        <v>5865</v>
      </c>
      <c r="BM63" t="s">
        <v>5866</v>
      </c>
      <c r="BN63">
        <v>35751068</v>
      </c>
      <c r="BO63" t="s">
        <v>104</v>
      </c>
      <c r="BP63" t="s">
        <v>74</v>
      </c>
      <c r="BQ63" t="s">
        <v>74</v>
      </c>
      <c r="BR63" t="s">
        <v>105</v>
      </c>
      <c r="BS63" t="s">
        <v>5867</v>
      </c>
      <c r="BT63" t="str">
        <f>HYPERLINK("https%3A%2F%2Fwww.webofscience.com%2Fwos%2Fwoscc%2Ffull-record%2FWOS:000815494000001","View Full Record in Web of Science")</f>
        <v>View Full Record in Web of Science</v>
      </c>
    </row>
    <row r="64" spans="1:72" x14ac:dyDescent="0.2">
      <c r="A64" t="s">
        <v>72</v>
      </c>
      <c r="B64" t="s">
        <v>3777</v>
      </c>
      <c r="C64" t="s">
        <v>74</v>
      </c>
      <c r="D64" t="s">
        <v>74</v>
      </c>
      <c r="E64" t="s">
        <v>74</v>
      </c>
      <c r="F64" t="s">
        <v>3778</v>
      </c>
      <c r="G64" t="s">
        <v>74</v>
      </c>
      <c r="H64" t="s">
        <v>74</v>
      </c>
      <c r="I64" t="s">
        <v>3779</v>
      </c>
      <c r="J64" t="s">
        <v>1718</v>
      </c>
      <c r="K64" t="s">
        <v>74</v>
      </c>
      <c r="L64" t="s">
        <v>74</v>
      </c>
      <c r="M64" t="s">
        <v>78</v>
      </c>
      <c r="N64" t="s">
        <v>167</v>
      </c>
      <c r="O64" t="s">
        <v>74</v>
      </c>
      <c r="P64" t="s">
        <v>74</v>
      </c>
      <c r="Q64" t="s">
        <v>74</v>
      </c>
      <c r="R64" t="s">
        <v>74</v>
      </c>
      <c r="S64" t="s">
        <v>74</v>
      </c>
      <c r="T64" t="s">
        <v>3780</v>
      </c>
      <c r="U64" t="s">
        <v>3781</v>
      </c>
      <c r="V64" t="s">
        <v>3782</v>
      </c>
      <c r="W64" s="1" t="s">
        <v>3783</v>
      </c>
      <c r="X64" t="s">
        <v>946</v>
      </c>
      <c r="Y64" t="s">
        <v>3784</v>
      </c>
      <c r="Z64" t="s">
        <v>3785</v>
      </c>
      <c r="AA64" t="s">
        <v>3786</v>
      </c>
      <c r="AB64" t="s">
        <v>3787</v>
      </c>
      <c r="AC64" t="s">
        <v>74</v>
      </c>
      <c r="AD64" t="s">
        <v>74</v>
      </c>
      <c r="AE64" t="s">
        <v>74</v>
      </c>
      <c r="AF64" t="s">
        <v>3788</v>
      </c>
      <c r="AG64">
        <v>79</v>
      </c>
      <c r="AH64">
        <v>0</v>
      </c>
      <c r="AI64">
        <v>0</v>
      </c>
      <c r="AJ64">
        <v>0</v>
      </c>
      <c r="AK64">
        <v>0</v>
      </c>
      <c r="AL64" t="s">
        <v>1727</v>
      </c>
      <c r="AM64" t="s">
        <v>1728</v>
      </c>
      <c r="AN64" t="s">
        <v>1729</v>
      </c>
      <c r="AO64" t="s">
        <v>1730</v>
      </c>
      <c r="AP64" t="s">
        <v>1731</v>
      </c>
      <c r="AQ64" t="s">
        <v>74</v>
      </c>
      <c r="AR64" t="s">
        <v>1732</v>
      </c>
      <c r="AS64" t="s">
        <v>1733</v>
      </c>
      <c r="AT64" t="s">
        <v>1527</v>
      </c>
      <c r="AU64">
        <v>2022</v>
      </c>
      <c r="AV64">
        <v>39</v>
      </c>
      <c r="AW64">
        <v>1</v>
      </c>
      <c r="AX64" t="s">
        <v>74</v>
      </c>
      <c r="AY64" t="s">
        <v>74</v>
      </c>
      <c r="AZ64" t="s">
        <v>74</v>
      </c>
      <c r="BA64" t="s">
        <v>74</v>
      </c>
      <c r="BB64">
        <v>123</v>
      </c>
      <c r="BC64">
        <v>141</v>
      </c>
      <c r="BD64" t="s">
        <v>74</v>
      </c>
      <c r="BE64" t="s">
        <v>3789</v>
      </c>
      <c r="BF64" t="str">
        <f>HYPERLINK("http://dx.doi.org/10.22267/rcia.223901.175","http://dx.doi.org/10.22267/rcia.223901.175")</f>
        <v>http://dx.doi.org/10.22267/rcia.223901.175</v>
      </c>
      <c r="BG64" t="s">
        <v>74</v>
      </c>
      <c r="BH64" t="s">
        <v>74</v>
      </c>
      <c r="BI64">
        <v>19</v>
      </c>
      <c r="BJ64" t="s">
        <v>390</v>
      </c>
      <c r="BK64" t="s">
        <v>187</v>
      </c>
      <c r="BL64" t="s">
        <v>160</v>
      </c>
      <c r="BM64" t="s">
        <v>3790</v>
      </c>
      <c r="BN64" t="s">
        <v>74</v>
      </c>
      <c r="BO64" t="s">
        <v>419</v>
      </c>
      <c r="BP64" t="s">
        <v>74</v>
      </c>
      <c r="BQ64" t="s">
        <v>74</v>
      </c>
      <c r="BR64" t="s">
        <v>105</v>
      </c>
      <c r="BS64" t="s">
        <v>3791</v>
      </c>
      <c r="BT64" t="str">
        <f>HYPERLINK("https%3A%2F%2Fwww.webofscience.com%2Fwos%2Fwoscc%2Ffull-record%2FWOS:000863294900006","View Full Record in Web of Science")</f>
        <v>View Full Record in Web of Science</v>
      </c>
    </row>
    <row r="65" spans="1:72" x14ac:dyDescent="0.2">
      <c r="A65" t="s">
        <v>72</v>
      </c>
      <c r="B65" t="s">
        <v>1084</v>
      </c>
      <c r="C65" t="s">
        <v>74</v>
      </c>
      <c r="D65" t="s">
        <v>74</v>
      </c>
      <c r="E65" t="s">
        <v>74</v>
      </c>
      <c r="F65" t="s">
        <v>1085</v>
      </c>
      <c r="G65" t="s">
        <v>74</v>
      </c>
      <c r="H65" t="s">
        <v>74</v>
      </c>
      <c r="I65" t="s">
        <v>1086</v>
      </c>
      <c r="J65" t="s">
        <v>1087</v>
      </c>
      <c r="K65" t="s">
        <v>74</v>
      </c>
      <c r="L65" t="s">
        <v>74</v>
      </c>
      <c r="M65" t="s">
        <v>78</v>
      </c>
      <c r="N65" t="s">
        <v>79</v>
      </c>
      <c r="O65" t="s">
        <v>74</v>
      </c>
      <c r="P65" t="s">
        <v>74</v>
      </c>
      <c r="Q65" t="s">
        <v>74</v>
      </c>
      <c r="R65" t="s">
        <v>74</v>
      </c>
      <c r="S65" t="s">
        <v>74</v>
      </c>
      <c r="T65" t="s">
        <v>1088</v>
      </c>
      <c r="U65" t="s">
        <v>1089</v>
      </c>
      <c r="V65" t="s">
        <v>1090</v>
      </c>
      <c r="W65" s="1" t="s">
        <v>1091</v>
      </c>
      <c r="X65" t="s">
        <v>1092</v>
      </c>
      <c r="Y65" t="s">
        <v>1093</v>
      </c>
      <c r="Z65" t="s">
        <v>1094</v>
      </c>
      <c r="AA65" t="s">
        <v>1095</v>
      </c>
      <c r="AB65" t="s">
        <v>1096</v>
      </c>
      <c r="AC65" t="s">
        <v>1097</v>
      </c>
      <c r="AD65" t="s">
        <v>1098</v>
      </c>
      <c r="AE65" t="s">
        <v>1099</v>
      </c>
      <c r="AF65" t="s">
        <v>1100</v>
      </c>
      <c r="AG65">
        <v>76</v>
      </c>
      <c r="AH65">
        <v>0</v>
      </c>
      <c r="AI65">
        <v>0</v>
      </c>
      <c r="AJ65">
        <v>10</v>
      </c>
      <c r="AK65">
        <v>21</v>
      </c>
      <c r="AL65" t="s">
        <v>1101</v>
      </c>
      <c r="AM65" t="s">
        <v>1102</v>
      </c>
      <c r="AN65" t="s">
        <v>1103</v>
      </c>
      <c r="AO65" t="s">
        <v>1104</v>
      </c>
      <c r="AP65" t="s">
        <v>1105</v>
      </c>
      <c r="AQ65" t="s">
        <v>74</v>
      </c>
      <c r="AR65" t="s">
        <v>1106</v>
      </c>
      <c r="AS65" t="s">
        <v>1107</v>
      </c>
      <c r="AT65" t="s">
        <v>74</v>
      </c>
      <c r="AU65">
        <v>2022</v>
      </c>
      <c r="AV65">
        <v>22</v>
      </c>
      <c r="AW65">
        <v>2</v>
      </c>
      <c r="AX65" t="s">
        <v>74</v>
      </c>
      <c r="AY65" t="s">
        <v>74</v>
      </c>
      <c r="AZ65" t="s">
        <v>74</v>
      </c>
      <c r="BA65" t="s">
        <v>74</v>
      </c>
      <c r="BB65">
        <v>139</v>
      </c>
      <c r="BC65">
        <v>153</v>
      </c>
      <c r="BD65" t="s">
        <v>74</v>
      </c>
      <c r="BE65" t="s">
        <v>1108</v>
      </c>
      <c r="BF65" t="str">
        <f>HYPERLINK("http://dx.doi.org/10.5295/cdg.211558el","http://dx.doi.org/10.5295/cdg.211558el")</f>
        <v>http://dx.doi.org/10.5295/cdg.211558el</v>
      </c>
      <c r="BG65" t="s">
        <v>74</v>
      </c>
      <c r="BH65" t="s">
        <v>244</v>
      </c>
      <c r="BI65">
        <v>15</v>
      </c>
      <c r="BJ65" t="s">
        <v>1109</v>
      </c>
      <c r="BK65" t="s">
        <v>187</v>
      </c>
      <c r="BL65" t="s">
        <v>935</v>
      </c>
      <c r="BM65" t="s">
        <v>1110</v>
      </c>
      <c r="BN65" t="s">
        <v>74</v>
      </c>
      <c r="BO65" t="s">
        <v>1111</v>
      </c>
      <c r="BP65" t="s">
        <v>74</v>
      </c>
      <c r="BQ65" t="s">
        <v>74</v>
      </c>
      <c r="BR65" t="s">
        <v>105</v>
      </c>
      <c r="BS65" t="s">
        <v>1112</v>
      </c>
      <c r="BT65" t="str">
        <f>HYPERLINK("https%3A%2F%2Fwww.webofscience.com%2Fwos%2Fwoscc%2Ffull-record%2FWOS:000765439100001","View Full Record in Web of Science")</f>
        <v>View Full Record in Web of Science</v>
      </c>
    </row>
    <row r="66" spans="1:72" x14ac:dyDescent="0.2">
      <c r="A66" t="s">
        <v>72</v>
      </c>
      <c r="B66" t="s">
        <v>4725</v>
      </c>
      <c r="C66" t="s">
        <v>74</v>
      </c>
      <c r="D66" t="s">
        <v>74</v>
      </c>
      <c r="E66" t="s">
        <v>74</v>
      </c>
      <c r="F66" t="s">
        <v>4726</v>
      </c>
      <c r="G66" t="s">
        <v>74</v>
      </c>
      <c r="H66" t="s">
        <v>74</v>
      </c>
      <c r="I66" t="s">
        <v>4727</v>
      </c>
      <c r="J66" t="s">
        <v>561</v>
      </c>
      <c r="K66" t="s">
        <v>74</v>
      </c>
      <c r="L66" t="s">
        <v>74</v>
      </c>
      <c r="M66" t="s">
        <v>78</v>
      </c>
      <c r="N66" t="s">
        <v>79</v>
      </c>
      <c r="O66" t="s">
        <v>74</v>
      </c>
      <c r="P66" t="s">
        <v>74</v>
      </c>
      <c r="Q66" t="s">
        <v>74</v>
      </c>
      <c r="R66" t="s">
        <v>74</v>
      </c>
      <c r="S66" t="s">
        <v>74</v>
      </c>
      <c r="T66" t="s">
        <v>4728</v>
      </c>
      <c r="U66" t="s">
        <v>4729</v>
      </c>
      <c r="V66" t="s">
        <v>4730</v>
      </c>
      <c r="W66" s="1" t="s">
        <v>4731</v>
      </c>
      <c r="X66" t="s">
        <v>4732</v>
      </c>
      <c r="Y66" t="s">
        <v>4733</v>
      </c>
      <c r="Z66" t="s">
        <v>4734</v>
      </c>
      <c r="AA66" t="s">
        <v>4735</v>
      </c>
      <c r="AB66" t="s">
        <v>4736</v>
      </c>
      <c r="AC66" t="s">
        <v>4737</v>
      </c>
      <c r="AD66" t="s">
        <v>4738</v>
      </c>
      <c r="AE66" t="s">
        <v>4739</v>
      </c>
      <c r="AF66" t="s">
        <v>4740</v>
      </c>
      <c r="AG66">
        <v>54</v>
      </c>
      <c r="AH66">
        <v>1</v>
      </c>
      <c r="AI66">
        <v>1</v>
      </c>
      <c r="AJ66">
        <v>0</v>
      </c>
      <c r="AK66">
        <v>6</v>
      </c>
      <c r="AL66" t="s">
        <v>93</v>
      </c>
      <c r="AM66" t="s">
        <v>94</v>
      </c>
      <c r="AN66" t="s">
        <v>95</v>
      </c>
      <c r="AO66" t="s">
        <v>74</v>
      </c>
      <c r="AP66" t="s">
        <v>574</v>
      </c>
      <c r="AQ66" t="s">
        <v>74</v>
      </c>
      <c r="AR66" t="s">
        <v>575</v>
      </c>
      <c r="AS66" t="s">
        <v>576</v>
      </c>
      <c r="AT66" t="s">
        <v>126</v>
      </c>
      <c r="AU66">
        <v>2022</v>
      </c>
      <c r="AV66">
        <v>10</v>
      </c>
      <c r="AW66">
        <v>12</v>
      </c>
      <c r="AX66" t="s">
        <v>74</v>
      </c>
      <c r="AY66" t="s">
        <v>74</v>
      </c>
      <c r="AZ66" t="s">
        <v>74</v>
      </c>
      <c r="BA66" t="s">
        <v>74</v>
      </c>
      <c r="BB66" t="s">
        <v>74</v>
      </c>
      <c r="BC66" t="s">
        <v>74</v>
      </c>
      <c r="BD66">
        <v>2100</v>
      </c>
      <c r="BE66" t="s">
        <v>4741</v>
      </c>
      <c r="BF66" t="str">
        <f>HYPERLINK("http://dx.doi.org/10.3390/math10122100","http://dx.doi.org/10.3390/math10122100")</f>
        <v>http://dx.doi.org/10.3390/math10122100</v>
      </c>
      <c r="BG66" t="s">
        <v>74</v>
      </c>
      <c r="BH66" t="s">
        <v>74</v>
      </c>
      <c r="BI66">
        <v>13</v>
      </c>
      <c r="BJ66" t="s">
        <v>576</v>
      </c>
      <c r="BK66" t="s">
        <v>102</v>
      </c>
      <c r="BL66" t="s">
        <v>576</v>
      </c>
      <c r="BM66" t="s">
        <v>4742</v>
      </c>
      <c r="BN66" t="s">
        <v>74</v>
      </c>
      <c r="BO66" t="s">
        <v>190</v>
      </c>
      <c r="BP66" t="s">
        <v>74</v>
      </c>
      <c r="BQ66" t="s">
        <v>74</v>
      </c>
      <c r="BR66" t="s">
        <v>105</v>
      </c>
      <c r="BS66" t="s">
        <v>4743</v>
      </c>
      <c r="BT66" t="str">
        <f>HYPERLINK("https%3A%2F%2Fwww.webofscience.com%2Fwos%2Fwoscc%2Ffull-record%2FWOS:000818128200001","View Full Record in Web of Science")</f>
        <v>View Full Record in Web of Science</v>
      </c>
    </row>
    <row r="67" spans="1:72" x14ac:dyDescent="0.2">
      <c r="A67" t="s">
        <v>72</v>
      </c>
      <c r="B67" t="s">
        <v>2577</v>
      </c>
      <c r="C67" t="s">
        <v>74</v>
      </c>
      <c r="D67" t="s">
        <v>74</v>
      </c>
      <c r="E67" t="s">
        <v>74</v>
      </c>
      <c r="F67" t="s">
        <v>2578</v>
      </c>
      <c r="G67" t="s">
        <v>74</v>
      </c>
      <c r="H67" t="s">
        <v>74</v>
      </c>
      <c r="I67" t="s">
        <v>2579</v>
      </c>
      <c r="J67" t="s">
        <v>2580</v>
      </c>
      <c r="K67" t="s">
        <v>74</v>
      </c>
      <c r="L67" t="s">
        <v>74</v>
      </c>
      <c r="M67" t="s">
        <v>1517</v>
      </c>
      <c r="N67" t="s">
        <v>79</v>
      </c>
      <c r="O67" t="s">
        <v>74</v>
      </c>
      <c r="P67" t="s">
        <v>74</v>
      </c>
      <c r="Q67" t="s">
        <v>74</v>
      </c>
      <c r="R67" t="s">
        <v>74</v>
      </c>
      <c r="S67" t="s">
        <v>74</v>
      </c>
      <c r="T67" t="s">
        <v>2581</v>
      </c>
      <c r="U67" t="s">
        <v>74</v>
      </c>
      <c r="V67" t="s">
        <v>2582</v>
      </c>
      <c r="W67" s="1" t="s">
        <v>2583</v>
      </c>
      <c r="X67" t="s">
        <v>84</v>
      </c>
      <c r="Y67" t="s">
        <v>2584</v>
      </c>
      <c r="Z67" t="s">
        <v>2585</v>
      </c>
      <c r="AA67" t="s">
        <v>74</v>
      </c>
      <c r="AB67" t="s">
        <v>74</v>
      </c>
      <c r="AC67" t="s">
        <v>74</v>
      </c>
      <c r="AD67" t="s">
        <v>74</v>
      </c>
      <c r="AE67" t="s">
        <v>74</v>
      </c>
      <c r="AF67" t="s">
        <v>2586</v>
      </c>
      <c r="AG67">
        <v>17</v>
      </c>
      <c r="AH67">
        <v>0</v>
      </c>
      <c r="AI67">
        <v>0</v>
      </c>
      <c r="AJ67">
        <v>1</v>
      </c>
      <c r="AK67">
        <v>1</v>
      </c>
      <c r="AL67" t="s">
        <v>2587</v>
      </c>
      <c r="AM67" t="s">
        <v>2588</v>
      </c>
      <c r="AN67" t="s">
        <v>2589</v>
      </c>
      <c r="AO67" t="s">
        <v>2590</v>
      </c>
      <c r="AP67" t="s">
        <v>74</v>
      </c>
      <c r="AQ67" t="s">
        <v>74</v>
      </c>
      <c r="AR67" t="s">
        <v>2580</v>
      </c>
      <c r="AS67" t="s">
        <v>2591</v>
      </c>
      <c r="AT67" t="s">
        <v>1527</v>
      </c>
      <c r="AU67">
        <v>2022</v>
      </c>
      <c r="AV67" t="s">
        <v>74</v>
      </c>
      <c r="AW67">
        <v>42</v>
      </c>
      <c r="AX67" t="s">
        <v>74</v>
      </c>
      <c r="AY67" t="s">
        <v>74</v>
      </c>
      <c r="AZ67" t="s">
        <v>74</v>
      </c>
      <c r="BA67" t="s">
        <v>74</v>
      </c>
      <c r="BB67">
        <v>429</v>
      </c>
      <c r="BC67">
        <v>462</v>
      </c>
      <c r="BD67" t="s">
        <v>74</v>
      </c>
      <c r="BE67" t="s">
        <v>74</v>
      </c>
      <c r="BF67" t="s">
        <v>74</v>
      </c>
      <c r="BG67" t="s">
        <v>74</v>
      </c>
      <c r="BH67" t="s">
        <v>74</v>
      </c>
      <c r="BI67">
        <v>34</v>
      </c>
      <c r="BJ67" t="s">
        <v>1959</v>
      </c>
      <c r="BK67" t="s">
        <v>187</v>
      </c>
      <c r="BL67" t="s">
        <v>1960</v>
      </c>
      <c r="BM67" t="s">
        <v>2592</v>
      </c>
      <c r="BN67" t="s">
        <v>74</v>
      </c>
      <c r="BO67" t="s">
        <v>74</v>
      </c>
      <c r="BP67" t="s">
        <v>74</v>
      </c>
      <c r="BQ67" t="s">
        <v>74</v>
      </c>
      <c r="BR67" t="s">
        <v>105</v>
      </c>
      <c r="BS67" t="s">
        <v>2593</v>
      </c>
      <c r="BT67" t="str">
        <f>HYPERLINK("https%3A%2F%2Fwww.webofscience.com%2Fwos%2Fwoscc%2Ffull-record%2FWOS:000805986000001","View Full Record in Web of Science")</f>
        <v>View Full Record in Web of Science</v>
      </c>
    </row>
    <row r="68" spans="1:72" x14ac:dyDescent="0.2">
      <c r="A68" t="s">
        <v>72</v>
      </c>
      <c r="B68" t="s">
        <v>2323</v>
      </c>
      <c r="C68" t="s">
        <v>74</v>
      </c>
      <c r="D68" t="s">
        <v>74</v>
      </c>
      <c r="E68" t="s">
        <v>74</v>
      </c>
      <c r="F68" t="s">
        <v>2324</v>
      </c>
      <c r="G68" t="s">
        <v>74</v>
      </c>
      <c r="H68" t="s">
        <v>74</v>
      </c>
      <c r="I68" t="s">
        <v>2325</v>
      </c>
      <c r="J68" t="s">
        <v>2326</v>
      </c>
      <c r="K68" t="s">
        <v>74</v>
      </c>
      <c r="L68" t="s">
        <v>74</v>
      </c>
      <c r="M68" t="s">
        <v>78</v>
      </c>
      <c r="N68" t="s">
        <v>79</v>
      </c>
      <c r="O68" t="s">
        <v>74</v>
      </c>
      <c r="P68" t="s">
        <v>74</v>
      </c>
      <c r="Q68" t="s">
        <v>74</v>
      </c>
      <c r="R68" t="s">
        <v>74</v>
      </c>
      <c r="S68" t="s">
        <v>74</v>
      </c>
      <c r="T68" t="s">
        <v>2327</v>
      </c>
      <c r="U68" t="s">
        <v>74</v>
      </c>
      <c r="V68" t="s">
        <v>2328</v>
      </c>
      <c r="W68" s="1" t="s">
        <v>2329</v>
      </c>
      <c r="X68" t="s">
        <v>84</v>
      </c>
      <c r="Y68" t="s">
        <v>2330</v>
      </c>
      <c r="Z68" t="s">
        <v>2331</v>
      </c>
      <c r="AA68" t="s">
        <v>74</v>
      </c>
      <c r="AB68" t="s">
        <v>74</v>
      </c>
      <c r="AC68" t="s">
        <v>74</v>
      </c>
      <c r="AD68" t="s">
        <v>74</v>
      </c>
      <c r="AE68" t="s">
        <v>74</v>
      </c>
      <c r="AF68" t="s">
        <v>2332</v>
      </c>
      <c r="AG68">
        <v>34</v>
      </c>
      <c r="AH68">
        <v>0</v>
      </c>
      <c r="AI68">
        <v>0</v>
      </c>
      <c r="AJ68">
        <v>0</v>
      </c>
      <c r="AK68">
        <v>0</v>
      </c>
      <c r="AL68" t="s">
        <v>1930</v>
      </c>
      <c r="AM68" t="s">
        <v>1931</v>
      </c>
      <c r="AN68" t="s">
        <v>1932</v>
      </c>
      <c r="AO68" t="s">
        <v>2333</v>
      </c>
      <c r="AP68" t="s">
        <v>2334</v>
      </c>
      <c r="AQ68" t="s">
        <v>74</v>
      </c>
      <c r="AR68" t="s">
        <v>2335</v>
      </c>
      <c r="AS68" t="s">
        <v>2336</v>
      </c>
      <c r="AT68" t="s">
        <v>74</v>
      </c>
      <c r="AU68">
        <v>2023</v>
      </c>
      <c r="AV68">
        <v>14</v>
      </c>
      <c r="AW68">
        <v>36</v>
      </c>
      <c r="AX68" t="s">
        <v>74</v>
      </c>
      <c r="AY68" t="s">
        <v>74</v>
      </c>
      <c r="AZ68" t="s">
        <v>74</v>
      </c>
      <c r="BA68" t="s">
        <v>74</v>
      </c>
      <c r="BB68" t="s">
        <v>74</v>
      </c>
      <c r="BC68" t="s">
        <v>74</v>
      </c>
      <c r="BD68" t="s">
        <v>2337</v>
      </c>
      <c r="BE68" t="s">
        <v>2338</v>
      </c>
      <c r="BF68" t="str">
        <f>HYPERLINK("http://dx.doi.org/10.19053/22160159.v14.n36.2023.15009","http://dx.doi.org/10.19053/22160159.v14.n36.2023.15009")</f>
        <v>http://dx.doi.org/10.19053/22160159.v14.n36.2023.15009</v>
      </c>
      <c r="BG68" t="s">
        <v>74</v>
      </c>
      <c r="BH68" t="s">
        <v>74</v>
      </c>
      <c r="BI68">
        <v>14</v>
      </c>
      <c r="BJ68" t="s">
        <v>963</v>
      </c>
      <c r="BK68" t="s">
        <v>187</v>
      </c>
      <c r="BL68" t="s">
        <v>963</v>
      </c>
      <c r="BM68" t="s">
        <v>2339</v>
      </c>
      <c r="BN68" t="s">
        <v>74</v>
      </c>
      <c r="BO68" t="s">
        <v>190</v>
      </c>
      <c r="BP68" t="s">
        <v>74</v>
      </c>
      <c r="BQ68" t="s">
        <v>74</v>
      </c>
      <c r="BR68" t="s">
        <v>105</v>
      </c>
      <c r="BS68" t="s">
        <v>2340</v>
      </c>
      <c r="BT68" t="str">
        <f>HYPERLINK("https%3A%2F%2Fwww.webofscience.com%2Fwos%2Fwoscc%2Ffull-record%2FWOS:000986746500003","View Full Record in Web of Science")</f>
        <v>View Full Record in Web of Science</v>
      </c>
    </row>
    <row r="69" spans="1:72" x14ac:dyDescent="0.2">
      <c r="A69" t="s">
        <v>72</v>
      </c>
      <c r="B69" t="s">
        <v>5607</v>
      </c>
      <c r="C69" t="s">
        <v>74</v>
      </c>
      <c r="D69" t="s">
        <v>74</v>
      </c>
      <c r="E69" t="s">
        <v>74</v>
      </c>
      <c r="F69" t="s">
        <v>5608</v>
      </c>
      <c r="G69" t="s">
        <v>74</v>
      </c>
      <c r="H69" t="s">
        <v>74</v>
      </c>
      <c r="I69" t="s">
        <v>5609</v>
      </c>
      <c r="J69" t="s">
        <v>5610</v>
      </c>
      <c r="K69" t="s">
        <v>74</v>
      </c>
      <c r="L69" t="s">
        <v>74</v>
      </c>
      <c r="M69" t="s">
        <v>78</v>
      </c>
      <c r="N69" t="s">
        <v>79</v>
      </c>
      <c r="O69" t="s">
        <v>74</v>
      </c>
      <c r="P69" t="s">
        <v>74</v>
      </c>
      <c r="Q69" t="s">
        <v>74</v>
      </c>
      <c r="R69" t="s">
        <v>74</v>
      </c>
      <c r="S69" t="s">
        <v>74</v>
      </c>
      <c r="T69" t="s">
        <v>5611</v>
      </c>
      <c r="U69" t="s">
        <v>5612</v>
      </c>
      <c r="V69" t="s">
        <v>5613</v>
      </c>
      <c r="W69" s="1" t="s">
        <v>5614</v>
      </c>
      <c r="X69" t="s">
        <v>5615</v>
      </c>
      <c r="Y69" t="s">
        <v>5616</v>
      </c>
      <c r="Z69" t="s">
        <v>4626</v>
      </c>
      <c r="AA69" t="s">
        <v>5617</v>
      </c>
      <c r="AB69" t="s">
        <v>5618</v>
      </c>
      <c r="AC69" t="s">
        <v>74</v>
      </c>
      <c r="AD69" t="s">
        <v>74</v>
      </c>
      <c r="AE69" t="s">
        <v>74</v>
      </c>
      <c r="AF69" t="s">
        <v>5619</v>
      </c>
      <c r="AG69">
        <v>103</v>
      </c>
      <c r="AH69">
        <v>1</v>
      </c>
      <c r="AI69">
        <v>1</v>
      </c>
      <c r="AJ69">
        <v>0</v>
      </c>
      <c r="AK69">
        <v>3</v>
      </c>
      <c r="AL69" t="s">
        <v>5620</v>
      </c>
      <c r="AM69" t="s">
        <v>5621</v>
      </c>
      <c r="AN69" t="s">
        <v>5622</v>
      </c>
      <c r="AO69" t="s">
        <v>5623</v>
      </c>
      <c r="AP69" t="s">
        <v>5624</v>
      </c>
      <c r="AQ69" t="s">
        <v>74</v>
      </c>
      <c r="AR69" t="s">
        <v>5625</v>
      </c>
      <c r="AS69" t="s">
        <v>5626</v>
      </c>
      <c r="AT69" t="s">
        <v>1029</v>
      </c>
      <c r="AU69">
        <v>2022</v>
      </c>
      <c r="AV69">
        <v>65</v>
      </c>
      <c r="AW69" t="s">
        <v>74</v>
      </c>
      <c r="AX69" t="s">
        <v>74</v>
      </c>
      <c r="AY69" t="s">
        <v>74</v>
      </c>
      <c r="AZ69" t="s">
        <v>74</v>
      </c>
      <c r="BA69" t="s">
        <v>74</v>
      </c>
      <c r="BB69" t="s">
        <v>74</v>
      </c>
      <c r="BC69" t="s">
        <v>74</v>
      </c>
      <c r="BD69">
        <v>126120</v>
      </c>
      <c r="BE69" t="s">
        <v>5627</v>
      </c>
      <c r="BF69" t="str">
        <f>HYPERLINK("http://dx.doi.org/10.1016/j.jnc.2021.126120","http://dx.doi.org/10.1016/j.jnc.2021.126120")</f>
        <v>http://dx.doi.org/10.1016/j.jnc.2021.126120</v>
      </c>
      <c r="BG69" t="s">
        <v>74</v>
      </c>
      <c r="BH69" t="s">
        <v>74</v>
      </c>
      <c r="BI69">
        <v>12</v>
      </c>
      <c r="BJ69" t="s">
        <v>5628</v>
      </c>
      <c r="BK69" t="s">
        <v>102</v>
      </c>
      <c r="BL69" t="s">
        <v>5629</v>
      </c>
      <c r="BM69" t="s">
        <v>5630</v>
      </c>
      <c r="BN69" t="s">
        <v>74</v>
      </c>
      <c r="BO69" t="s">
        <v>74</v>
      </c>
      <c r="BP69" t="s">
        <v>74</v>
      </c>
      <c r="BQ69" t="s">
        <v>74</v>
      </c>
      <c r="BR69" t="s">
        <v>105</v>
      </c>
      <c r="BS69" t="s">
        <v>5631</v>
      </c>
      <c r="BT69" t="str">
        <f>HYPERLINK("https%3A%2F%2Fwww.webofscience.com%2Fwos%2Fwoscc%2Ffull-record%2FWOS:000787891800011","View Full Record in Web of Science")</f>
        <v>View Full Record in Web of Science</v>
      </c>
    </row>
    <row r="70" spans="1:72" x14ac:dyDescent="0.2">
      <c r="A70" t="s">
        <v>72</v>
      </c>
      <c r="B70" t="s">
        <v>4986</v>
      </c>
      <c r="C70" t="s">
        <v>74</v>
      </c>
      <c r="D70" t="s">
        <v>74</v>
      </c>
      <c r="E70" t="s">
        <v>74</v>
      </c>
      <c r="F70" t="s">
        <v>4987</v>
      </c>
      <c r="G70" t="s">
        <v>74</v>
      </c>
      <c r="H70" t="s">
        <v>74</v>
      </c>
      <c r="I70" t="s">
        <v>4988</v>
      </c>
      <c r="J70" t="s">
        <v>4989</v>
      </c>
      <c r="K70" t="s">
        <v>74</v>
      </c>
      <c r="L70" t="s">
        <v>74</v>
      </c>
      <c r="M70" t="s">
        <v>78</v>
      </c>
      <c r="N70" t="s">
        <v>79</v>
      </c>
      <c r="O70" t="s">
        <v>74</v>
      </c>
      <c r="P70" t="s">
        <v>74</v>
      </c>
      <c r="Q70" t="s">
        <v>74</v>
      </c>
      <c r="R70" t="s">
        <v>74</v>
      </c>
      <c r="S70" t="s">
        <v>74</v>
      </c>
      <c r="T70" t="s">
        <v>4990</v>
      </c>
      <c r="U70" t="s">
        <v>4991</v>
      </c>
      <c r="V70" t="s">
        <v>4992</v>
      </c>
      <c r="W70" s="1" t="s">
        <v>4993</v>
      </c>
      <c r="X70" t="s">
        <v>84</v>
      </c>
      <c r="Y70" t="s">
        <v>4994</v>
      </c>
      <c r="Z70" t="s">
        <v>4995</v>
      </c>
      <c r="AA70" t="s">
        <v>74</v>
      </c>
      <c r="AB70" t="s">
        <v>4996</v>
      </c>
      <c r="AC70" t="s">
        <v>74</v>
      </c>
      <c r="AD70" t="s">
        <v>74</v>
      </c>
      <c r="AE70" t="s">
        <v>74</v>
      </c>
      <c r="AF70" t="s">
        <v>4997</v>
      </c>
      <c r="AG70">
        <v>49</v>
      </c>
      <c r="AH70">
        <v>0</v>
      </c>
      <c r="AI70">
        <v>0</v>
      </c>
      <c r="AJ70">
        <v>1</v>
      </c>
      <c r="AK70">
        <v>3</v>
      </c>
      <c r="AL70" t="s">
        <v>4998</v>
      </c>
      <c r="AM70" t="s">
        <v>316</v>
      </c>
      <c r="AN70" t="s">
        <v>4999</v>
      </c>
      <c r="AO70" t="s">
        <v>5000</v>
      </c>
      <c r="AP70" t="s">
        <v>5001</v>
      </c>
      <c r="AQ70" t="s">
        <v>74</v>
      </c>
      <c r="AR70" t="s">
        <v>5002</v>
      </c>
      <c r="AS70" t="s">
        <v>5003</v>
      </c>
      <c r="AT70" t="s">
        <v>1527</v>
      </c>
      <c r="AU70">
        <v>2022</v>
      </c>
      <c r="AV70">
        <v>24</v>
      </c>
      <c r="AW70">
        <v>1</v>
      </c>
      <c r="AX70" t="s">
        <v>74</v>
      </c>
      <c r="AY70" t="s">
        <v>74</v>
      </c>
      <c r="AZ70" t="s">
        <v>74</v>
      </c>
      <c r="BA70" t="s">
        <v>74</v>
      </c>
      <c r="BB70">
        <v>15</v>
      </c>
      <c r="BC70">
        <v>28</v>
      </c>
      <c r="BD70" t="s">
        <v>74</v>
      </c>
      <c r="BE70" t="s">
        <v>5004</v>
      </c>
      <c r="BF70" t="str">
        <f>HYPERLINK("http://dx.doi.org/10.15446/profile.v24n1.90342","http://dx.doi.org/10.15446/profile.v24n1.90342")</f>
        <v>http://dx.doi.org/10.15446/profile.v24n1.90342</v>
      </c>
      <c r="BG70" t="s">
        <v>74</v>
      </c>
      <c r="BH70" t="s">
        <v>74</v>
      </c>
      <c r="BI70">
        <v>14</v>
      </c>
      <c r="BJ70" t="s">
        <v>963</v>
      </c>
      <c r="BK70" t="s">
        <v>187</v>
      </c>
      <c r="BL70" t="s">
        <v>963</v>
      </c>
      <c r="BM70" t="s">
        <v>5005</v>
      </c>
      <c r="BN70" t="s">
        <v>74</v>
      </c>
      <c r="BO70" t="s">
        <v>131</v>
      </c>
      <c r="BP70" t="s">
        <v>74</v>
      </c>
      <c r="BQ70" t="s">
        <v>74</v>
      </c>
      <c r="BR70" t="s">
        <v>105</v>
      </c>
      <c r="BS70" t="s">
        <v>5006</v>
      </c>
      <c r="BT70" t="str">
        <f>HYPERLINK("https%3A%2F%2Fwww.webofscience.com%2Fwos%2Fwoscc%2Ffull-record%2FWOS:000807496600002","View Full Record in Web of Science")</f>
        <v>View Full Record in Web of Science</v>
      </c>
    </row>
    <row r="71" spans="1:72" x14ac:dyDescent="0.2">
      <c r="A71" t="s">
        <v>72</v>
      </c>
      <c r="B71" t="s">
        <v>2594</v>
      </c>
      <c r="C71" t="s">
        <v>74</v>
      </c>
      <c r="D71" t="s">
        <v>74</v>
      </c>
      <c r="E71" t="s">
        <v>74</v>
      </c>
      <c r="F71" t="s">
        <v>2595</v>
      </c>
      <c r="G71" t="s">
        <v>74</v>
      </c>
      <c r="H71" t="s">
        <v>74</v>
      </c>
      <c r="I71" t="s">
        <v>2596</v>
      </c>
      <c r="J71" t="s">
        <v>1718</v>
      </c>
      <c r="K71" t="s">
        <v>74</v>
      </c>
      <c r="L71" t="s">
        <v>74</v>
      </c>
      <c r="M71" t="s">
        <v>78</v>
      </c>
      <c r="N71" t="s">
        <v>79</v>
      </c>
      <c r="O71" t="s">
        <v>74</v>
      </c>
      <c r="P71" t="s">
        <v>74</v>
      </c>
      <c r="Q71" t="s">
        <v>74</v>
      </c>
      <c r="R71" t="s">
        <v>74</v>
      </c>
      <c r="S71" t="s">
        <v>74</v>
      </c>
      <c r="T71" t="s">
        <v>2597</v>
      </c>
      <c r="U71" t="s">
        <v>2598</v>
      </c>
      <c r="V71" t="s">
        <v>2599</v>
      </c>
      <c r="W71" s="1" t="s">
        <v>2600</v>
      </c>
      <c r="X71" t="s">
        <v>84</v>
      </c>
      <c r="Y71" t="s">
        <v>2601</v>
      </c>
      <c r="Z71" t="s">
        <v>2602</v>
      </c>
      <c r="AA71" t="s">
        <v>74</v>
      </c>
      <c r="AB71" t="s">
        <v>74</v>
      </c>
      <c r="AC71" t="s">
        <v>74</v>
      </c>
      <c r="AD71" t="s">
        <v>74</v>
      </c>
      <c r="AE71" t="s">
        <v>74</v>
      </c>
      <c r="AF71" t="s">
        <v>2603</v>
      </c>
      <c r="AG71">
        <v>23</v>
      </c>
      <c r="AH71">
        <v>0</v>
      </c>
      <c r="AI71">
        <v>0</v>
      </c>
      <c r="AJ71">
        <v>0</v>
      </c>
      <c r="AK71">
        <v>0</v>
      </c>
      <c r="AL71" t="s">
        <v>1727</v>
      </c>
      <c r="AM71" t="s">
        <v>1728</v>
      </c>
      <c r="AN71" t="s">
        <v>1729</v>
      </c>
      <c r="AO71" t="s">
        <v>1730</v>
      </c>
      <c r="AP71" t="s">
        <v>1731</v>
      </c>
      <c r="AQ71" t="s">
        <v>74</v>
      </c>
      <c r="AR71" t="s">
        <v>1732</v>
      </c>
      <c r="AS71" t="s">
        <v>1733</v>
      </c>
      <c r="AT71" t="s">
        <v>1527</v>
      </c>
      <c r="AU71">
        <v>2022</v>
      </c>
      <c r="AV71">
        <v>39</v>
      </c>
      <c r="AW71">
        <v>1</v>
      </c>
      <c r="AX71" t="s">
        <v>74</v>
      </c>
      <c r="AY71" t="s">
        <v>74</v>
      </c>
      <c r="AZ71" t="s">
        <v>74</v>
      </c>
      <c r="BA71" t="s">
        <v>74</v>
      </c>
      <c r="BB71">
        <v>7</v>
      </c>
      <c r="BC71">
        <v>15</v>
      </c>
      <c r="BD71" t="s">
        <v>74</v>
      </c>
      <c r="BE71" t="s">
        <v>2604</v>
      </c>
      <c r="BF71" t="str">
        <f>HYPERLINK("http://dx.doi.org/10.22267/rcia.213802.166","http://dx.doi.org/10.22267/rcia.213802.166")</f>
        <v>http://dx.doi.org/10.22267/rcia.213802.166</v>
      </c>
      <c r="BG71" t="s">
        <v>74</v>
      </c>
      <c r="BH71" t="s">
        <v>74</v>
      </c>
      <c r="BI71">
        <v>9</v>
      </c>
      <c r="BJ71" t="s">
        <v>390</v>
      </c>
      <c r="BK71" t="s">
        <v>187</v>
      </c>
      <c r="BL71" t="s">
        <v>160</v>
      </c>
      <c r="BM71" t="s">
        <v>1735</v>
      </c>
      <c r="BN71" t="s">
        <v>74</v>
      </c>
      <c r="BO71" t="s">
        <v>190</v>
      </c>
      <c r="BP71" t="s">
        <v>74</v>
      </c>
      <c r="BQ71" t="s">
        <v>74</v>
      </c>
      <c r="BR71" t="s">
        <v>105</v>
      </c>
      <c r="BS71" t="s">
        <v>2605</v>
      </c>
      <c r="BT71" t="str">
        <f>HYPERLINK("https%3A%2F%2Fwww.webofscience.com%2Fwos%2Fwoscc%2Ffull-record%2FWOS:000861324500001","View Full Record in Web of Science")</f>
        <v>View Full Record in Web of Science</v>
      </c>
    </row>
    <row r="72" spans="1:72" x14ac:dyDescent="0.2">
      <c r="A72" t="s">
        <v>72</v>
      </c>
      <c r="B72" t="s">
        <v>1036</v>
      </c>
      <c r="C72" t="s">
        <v>74</v>
      </c>
      <c r="D72" t="s">
        <v>74</v>
      </c>
      <c r="E72" t="s">
        <v>74</v>
      </c>
      <c r="F72" t="s">
        <v>1037</v>
      </c>
      <c r="G72" t="s">
        <v>74</v>
      </c>
      <c r="H72" t="s">
        <v>74</v>
      </c>
      <c r="I72" t="s">
        <v>1038</v>
      </c>
      <c r="J72" t="s">
        <v>348</v>
      </c>
      <c r="K72" t="s">
        <v>74</v>
      </c>
      <c r="L72" t="s">
        <v>74</v>
      </c>
      <c r="M72" t="s">
        <v>78</v>
      </c>
      <c r="N72" t="s">
        <v>79</v>
      </c>
      <c r="O72" t="s">
        <v>74</v>
      </c>
      <c r="P72" t="s">
        <v>74</v>
      </c>
      <c r="Q72" t="s">
        <v>74</v>
      </c>
      <c r="R72" t="s">
        <v>74</v>
      </c>
      <c r="S72" t="s">
        <v>74</v>
      </c>
      <c r="T72" t="s">
        <v>1039</v>
      </c>
      <c r="U72" t="s">
        <v>1040</v>
      </c>
      <c r="V72" t="s">
        <v>1041</v>
      </c>
      <c r="W72" s="1" t="s">
        <v>1042</v>
      </c>
      <c r="X72" t="s">
        <v>1043</v>
      </c>
      <c r="Y72" t="s">
        <v>1044</v>
      </c>
      <c r="Z72" t="s">
        <v>1045</v>
      </c>
      <c r="AA72" t="s">
        <v>1046</v>
      </c>
      <c r="AB72" t="s">
        <v>1047</v>
      </c>
      <c r="AC72" t="s">
        <v>1048</v>
      </c>
      <c r="AD72" t="s">
        <v>1049</v>
      </c>
      <c r="AE72" t="s">
        <v>1050</v>
      </c>
      <c r="AF72" t="s">
        <v>1051</v>
      </c>
      <c r="AG72">
        <v>64</v>
      </c>
      <c r="AH72">
        <v>4</v>
      </c>
      <c r="AI72">
        <v>4</v>
      </c>
      <c r="AJ72">
        <v>0</v>
      </c>
      <c r="AK72">
        <v>10</v>
      </c>
      <c r="AL72" t="s">
        <v>93</v>
      </c>
      <c r="AM72" t="s">
        <v>94</v>
      </c>
      <c r="AN72" t="s">
        <v>95</v>
      </c>
      <c r="AO72" t="s">
        <v>74</v>
      </c>
      <c r="AP72" t="s">
        <v>362</v>
      </c>
      <c r="AQ72" t="s">
        <v>74</v>
      </c>
      <c r="AR72" t="s">
        <v>363</v>
      </c>
      <c r="AS72" t="s">
        <v>364</v>
      </c>
      <c r="AT72" t="s">
        <v>1029</v>
      </c>
      <c r="AU72">
        <v>2022</v>
      </c>
      <c r="AV72">
        <v>22</v>
      </c>
      <c r="AW72">
        <v>4</v>
      </c>
      <c r="AX72" t="s">
        <v>74</v>
      </c>
      <c r="AY72" t="s">
        <v>74</v>
      </c>
      <c r="AZ72" t="s">
        <v>74</v>
      </c>
      <c r="BA72" t="s">
        <v>74</v>
      </c>
      <c r="BB72" t="s">
        <v>74</v>
      </c>
      <c r="BC72" t="s">
        <v>74</v>
      </c>
      <c r="BD72">
        <v>1484</v>
      </c>
      <c r="BE72" t="s">
        <v>1052</v>
      </c>
      <c r="BF72" t="str">
        <f>HYPERLINK("http://dx.doi.org/10.3390/s22041484","http://dx.doi.org/10.3390/s22041484")</f>
        <v>http://dx.doi.org/10.3390/s22041484</v>
      </c>
      <c r="BG72" t="s">
        <v>74</v>
      </c>
      <c r="BH72" t="s">
        <v>74</v>
      </c>
      <c r="BI72">
        <v>33</v>
      </c>
      <c r="BJ72" t="s">
        <v>366</v>
      </c>
      <c r="BK72" t="s">
        <v>102</v>
      </c>
      <c r="BL72" t="s">
        <v>367</v>
      </c>
      <c r="BM72" t="s">
        <v>1053</v>
      </c>
      <c r="BN72">
        <v>35214386</v>
      </c>
      <c r="BO72" t="s">
        <v>131</v>
      </c>
      <c r="BP72" t="s">
        <v>74</v>
      </c>
      <c r="BQ72" t="s">
        <v>74</v>
      </c>
      <c r="BR72" t="s">
        <v>105</v>
      </c>
      <c r="BS72" t="s">
        <v>1054</v>
      </c>
      <c r="BT72" t="str">
        <f>HYPERLINK("https%3A%2F%2Fwww.webofscience.com%2Fwos%2Fwoscc%2Ffull-record%2FWOS:000771467600001","View Full Record in Web of Science")</f>
        <v>View Full Record in Web of Science</v>
      </c>
    </row>
    <row r="73" spans="1:72" x14ac:dyDescent="0.2">
      <c r="A73" t="s">
        <v>72</v>
      </c>
      <c r="B73" t="s">
        <v>3271</v>
      </c>
      <c r="C73" t="s">
        <v>74</v>
      </c>
      <c r="D73" t="s">
        <v>74</v>
      </c>
      <c r="E73" t="s">
        <v>74</v>
      </c>
      <c r="F73" t="s">
        <v>3272</v>
      </c>
      <c r="G73" t="s">
        <v>74</v>
      </c>
      <c r="H73" t="s">
        <v>74</v>
      </c>
      <c r="I73" t="s">
        <v>3273</v>
      </c>
      <c r="J73" t="s">
        <v>1820</v>
      </c>
      <c r="K73" t="s">
        <v>74</v>
      </c>
      <c r="L73" t="s">
        <v>74</v>
      </c>
      <c r="M73" t="s">
        <v>1517</v>
      </c>
      <c r="N73" t="s">
        <v>79</v>
      </c>
      <c r="O73" t="s">
        <v>74</v>
      </c>
      <c r="P73" t="s">
        <v>74</v>
      </c>
      <c r="Q73" t="s">
        <v>74</v>
      </c>
      <c r="R73" t="s">
        <v>74</v>
      </c>
      <c r="S73" t="s">
        <v>74</v>
      </c>
      <c r="T73" t="s">
        <v>3274</v>
      </c>
      <c r="U73" t="s">
        <v>74</v>
      </c>
      <c r="V73" t="s">
        <v>3275</v>
      </c>
      <c r="W73" s="1" t="s">
        <v>3276</v>
      </c>
      <c r="X73" t="s">
        <v>84</v>
      </c>
      <c r="Y73" t="s">
        <v>3277</v>
      </c>
      <c r="Z73" t="s">
        <v>3278</v>
      </c>
      <c r="AA73" t="s">
        <v>74</v>
      </c>
      <c r="AB73" t="s">
        <v>74</v>
      </c>
      <c r="AC73" t="s">
        <v>74</v>
      </c>
      <c r="AD73" t="s">
        <v>74</v>
      </c>
      <c r="AE73" t="s">
        <v>74</v>
      </c>
      <c r="AF73" t="s">
        <v>3279</v>
      </c>
      <c r="AG73">
        <v>14</v>
      </c>
      <c r="AH73">
        <v>0</v>
      </c>
      <c r="AI73">
        <v>0</v>
      </c>
      <c r="AJ73">
        <v>1</v>
      </c>
      <c r="AK73">
        <v>1</v>
      </c>
      <c r="AL73" t="s">
        <v>1828</v>
      </c>
      <c r="AM73" t="s">
        <v>925</v>
      </c>
      <c r="AN73" t="s">
        <v>1829</v>
      </c>
      <c r="AO73" t="s">
        <v>1830</v>
      </c>
      <c r="AP73" t="s">
        <v>74</v>
      </c>
      <c r="AQ73" t="s">
        <v>74</v>
      </c>
      <c r="AR73" t="s">
        <v>1831</v>
      </c>
      <c r="AS73" t="s">
        <v>1832</v>
      </c>
      <c r="AT73" t="s">
        <v>1487</v>
      </c>
      <c r="AU73">
        <v>2022</v>
      </c>
      <c r="AV73">
        <v>24</v>
      </c>
      <c r="AW73">
        <v>2</v>
      </c>
      <c r="AX73" t="s">
        <v>74</v>
      </c>
      <c r="AY73" t="s">
        <v>74</v>
      </c>
      <c r="AZ73" t="s">
        <v>74</v>
      </c>
      <c r="BA73" t="s">
        <v>74</v>
      </c>
      <c r="BB73" t="s">
        <v>74</v>
      </c>
      <c r="BC73" t="s">
        <v>74</v>
      </c>
      <c r="BD73" t="s">
        <v>3280</v>
      </c>
      <c r="BE73" t="s">
        <v>3281</v>
      </c>
      <c r="BF73" t="str">
        <f>HYPERLINK("http://dx.doi.org/10.25100/iyc.v24i02.12078","http://dx.doi.org/10.25100/iyc.v24i02.12078")</f>
        <v>http://dx.doi.org/10.25100/iyc.v24i02.12078</v>
      </c>
      <c r="BG73" t="s">
        <v>74</v>
      </c>
      <c r="BH73" t="s">
        <v>74</v>
      </c>
      <c r="BI73">
        <v>11</v>
      </c>
      <c r="BJ73" t="s">
        <v>323</v>
      </c>
      <c r="BK73" t="s">
        <v>187</v>
      </c>
      <c r="BL73" t="s">
        <v>324</v>
      </c>
      <c r="BM73" t="s">
        <v>1835</v>
      </c>
      <c r="BN73" t="s">
        <v>74</v>
      </c>
      <c r="BO73" t="s">
        <v>1191</v>
      </c>
      <c r="BP73" t="s">
        <v>74</v>
      </c>
      <c r="BQ73" t="s">
        <v>74</v>
      </c>
      <c r="BR73" t="s">
        <v>105</v>
      </c>
      <c r="BS73" t="s">
        <v>3282</v>
      </c>
      <c r="BT73" t="str">
        <f>HYPERLINK("https%3A%2F%2Fwww.webofscience.com%2Fwos%2Fwoscc%2Ffull-record%2FWOS:000927631700026","View Full Record in Web of Science")</f>
        <v>View Full Record in Web of Science</v>
      </c>
    </row>
    <row r="74" spans="1:72" x14ac:dyDescent="0.2">
      <c r="A74" t="s">
        <v>72</v>
      </c>
      <c r="B74" t="s">
        <v>938</v>
      </c>
      <c r="C74" t="s">
        <v>74</v>
      </c>
      <c r="D74" t="s">
        <v>74</v>
      </c>
      <c r="E74" t="s">
        <v>74</v>
      </c>
      <c r="F74" t="s">
        <v>939</v>
      </c>
      <c r="G74" t="s">
        <v>74</v>
      </c>
      <c r="H74" t="s">
        <v>74</v>
      </c>
      <c r="I74" t="s">
        <v>940</v>
      </c>
      <c r="J74" t="s">
        <v>941</v>
      </c>
      <c r="K74" t="s">
        <v>74</v>
      </c>
      <c r="L74" t="s">
        <v>74</v>
      </c>
      <c r="M74" t="s">
        <v>78</v>
      </c>
      <c r="N74" t="s">
        <v>167</v>
      </c>
      <c r="O74" t="s">
        <v>74</v>
      </c>
      <c r="P74" t="s">
        <v>74</v>
      </c>
      <c r="Q74" t="s">
        <v>74</v>
      </c>
      <c r="R74" t="s">
        <v>74</v>
      </c>
      <c r="S74" t="s">
        <v>74</v>
      </c>
      <c r="T74" t="s">
        <v>942</v>
      </c>
      <c r="U74" t="s">
        <v>943</v>
      </c>
      <c r="V74" t="s">
        <v>944</v>
      </c>
      <c r="W74" s="1" t="s">
        <v>945</v>
      </c>
      <c r="X74" t="s">
        <v>946</v>
      </c>
      <c r="Y74" t="s">
        <v>947</v>
      </c>
      <c r="Z74" t="s">
        <v>948</v>
      </c>
      <c r="AA74" t="s">
        <v>74</v>
      </c>
      <c r="AB74" t="s">
        <v>949</v>
      </c>
      <c r="AC74" t="s">
        <v>950</v>
      </c>
      <c r="AD74" t="s">
        <v>951</v>
      </c>
      <c r="AE74" t="s">
        <v>952</v>
      </c>
      <c r="AF74" t="s">
        <v>953</v>
      </c>
      <c r="AG74">
        <v>63</v>
      </c>
      <c r="AH74">
        <v>0</v>
      </c>
      <c r="AI74">
        <v>0</v>
      </c>
      <c r="AJ74">
        <v>1</v>
      </c>
      <c r="AK74">
        <v>1</v>
      </c>
      <c r="AL74" t="s">
        <v>954</v>
      </c>
      <c r="AM74" t="s">
        <v>316</v>
      </c>
      <c r="AN74" t="s">
        <v>955</v>
      </c>
      <c r="AO74" t="s">
        <v>956</v>
      </c>
      <c r="AP74" t="s">
        <v>957</v>
      </c>
      <c r="AQ74" t="s">
        <v>74</v>
      </c>
      <c r="AR74" t="s">
        <v>958</v>
      </c>
      <c r="AS74" t="s">
        <v>959</v>
      </c>
      <c r="AT74" t="s">
        <v>960</v>
      </c>
      <c r="AU74">
        <v>2023</v>
      </c>
      <c r="AV74">
        <v>46</v>
      </c>
      <c r="AW74">
        <v>1</v>
      </c>
      <c r="AX74" t="s">
        <v>74</v>
      </c>
      <c r="AY74" t="s">
        <v>74</v>
      </c>
      <c r="AZ74" t="s">
        <v>74</v>
      </c>
      <c r="BA74" t="s">
        <v>74</v>
      </c>
      <c r="BB74">
        <v>162</v>
      </c>
      <c r="BC74">
        <v>176</v>
      </c>
      <c r="BD74" t="s">
        <v>74</v>
      </c>
      <c r="BE74" t="s">
        <v>961</v>
      </c>
      <c r="BF74" t="str">
        <f>HYPERLINK("http://dx.doi.org/10.14483/23448350.20093","http://dx.doi.org/10.14483/23448350.20093")</f>
        <v>http://dx.doi.org/10.14483/23448350.20093</v>
      </c>
      <c r="BG74" t="s">
        <v>74</v>
      </c>
      <c r="BH74" t="s">
        <v>74</v>
      </c>
      <c r="BI74">
        <v>15</v>
      </c>
      <c r="BJ74" t="s">
        <v>962</v>
      </c>
      <c r="BK74" t="s">
        <v>187</v>
      </c>
      <c r="BL74" t="s">
        <v>963</v>
      </c>
      <c r="BM74" t="s">
        <v>964</v>
      </c>
      <c r="BN74" t="s">
        <v>74</v>
      </c>
      <c r="BO74" t="s">
        <v>190</v>
      </c>
      <c r="BP74" t="s">
        <v>74</v>
      </c>
      <c r="BQ74" t="s">
        <v>74</v>
      </c>
      <c r="BR74" t="s">
        <v>105</v>
      </c>
      <c r="BS74" t="s">
        <v>965</v>
      </c>
      <c r="BT74" t="str">
        <f>HYPERLINK("https%3A%2F%2Fwww.webofscience.com%2Fwos%2Fwoscc%2Ffull-record%2FWOS:000931690800002","View Full Record in Web of Science")</f>
        <v>View Full Record in Web of Science</v>
      </c>
    </row>
    <row r="75" spans="1:72" x14ac:dyDescent="0.2">
      <c r="A75" t="s">
        <v>72</v>
      </c>
      <c r="B75" t="s">
        <v>5159</v>
      </c>
      <c r="C75" t="s">
        <v>74</v>
      </c>
      <c r="D75" t="s">
        <v>74</v>
      </c>
      <c r="E75" t="s">
        <v>74</v>
      </c>
      <c r="F75" t="s">
        <v>5160</v>
      </c>
      <c r="G75" t="s">
        <v>74</v>
      </c>
      <c r="H75" t="s">
        <v>74</v>
      </c>
      <c r="I75" t="s">
        <v>5161</v>
      </c>
      <c r="J75" t="s">
        <v>2785</v>
      </c>
      <c r="K75" t="s">
        <v>74</v>
      </c>
      <c r="L75" t="s">
        <v>74</v>
      </c>
      <c r="M75" t="s">
        <v>1517</v>
      </c>
      <c r="N75" t="s">
        <v>79</v>
      </c>
      <c r="O75" t="s">
        <v>74</v>
      </c>
      <c r="P75" t="s">
        <v>74</v>
      </c>
      <c r="Q75" t="s">
        <v>74</v>
      </c>
      <c r="R75" t="s">
        <v>74</v>
      </c>
      <c r="S75" t="s">
        <v>74</v>
      </c>
      <c r="T75" t="s">
        <v>5162</v>
      </c>
      <c r="U75" t="s">
        <v>74</v>
      </c>
      <c r="V75" t="s">
        <v>5163</v>
      </c>
      <c r="W75" s="1" t="s">
        <v>5164</v>
      </c>
      <c r="X75" t="s">
        <v>5165</v>
      </c>
      <c r="Y75" t="s">
        <v>5166</v>
      </c>
      <c r="Z75" t="s">
        <v>5167</v>
      </c>
      <c r="AA75" t="s">
        <v>74</v>
      </c>
      <c r="AB75" t="s">
        <v>74</v>
      </c>
      <c r="AC75" t="s">
        <v>74</v>
      </c>
      <c r="AD75" t="s">
        <v>74</v>
      </c>
      <c r="AE75" t="s">
        <v>74</v>
      </c>
      <c r="AF75" t="s">
        <v>5168</v>
      </c>
      <c r="AG75">
        <v>20</v>
      </c>
      <c r="AH75">
        <v>0</v>
      </c>
      <c r="AI75">
        <v>0</v>
      </c>
      <c r="AJ75">
        <v>0</v>
      </c>
      <c r="AK75">
        <v>0</v>
      </c>
      <c r="AL75" t="s">
        <v>1930</v>
      </c>
      <c r="AM75" t="s">
        <v>1931</v>
      </c>
      <c r="AN75" t="s">
        <v>1932</v>
      </c>
      <c r="AO75" t="s">
        <v>2792</v>
      </c>
      <c r="AP75" t="s">
        <v>2793</v>
      </c>
      <c r="AQ75" t="s">
        <v>74</v>
      </c>
      <c r="AR75" t="s">
        <v>2794</v>
      </c>
      <c r="AS75" t="s">
        <v>2795</v>
      </c>
      <c r="AT75" t="s">
        <v>74</v>
      </c>
      <c r="AU75">
        <v>2022</v>
      </c>
      <c r="AV75">
        <v>39</v>
      </c>
      <c r="AW75" t="s">
        <v>74</v>
      </c>
      <c r="AX75" t="s">
        <v>74</v>
      </c>
      <c r="AY75" t="s">
        <v>74</v>
      </c>
      <c r="AZ75" t="s">
        <v>74</v>
      </c>
      <c r="BA75" t="s">
        <v>74</v>
      </c>
      <c r="BB75" t="s">
        <v>74</v>
      </c>
      <c r="BC75" t="s">
        <v>74</v>
      </c>
      <c r="BD75" t="s">
        <v>5169</v>
      </c>
      <c r="BE75" t="s">
        <v>5170</v>
      </c>
      <c r="BF75" t="str">
        <f>HYPERLINK("http://dx.doi.org/10.19053/0121053X.n39.2022.13511","http://dx.doi.org/10.19053/0121053X.n39.2022.13511")</f>
        <v>http://dx.doi.org/10.19053/0121053X.n39.2022.13511</v>
      </c>
      <c r="BG75" t="s">
        <v>74</v>
      </c>
      <c r="BH75" t="s">
        <v>74</v>
      </c>
      <c r="BI75">
        <v>21</v>
      </c>
      <c r="BJ75" t="s">
        <v>2798</v>
      </c>
      <c r="BK75" t="s">
        <v>187</v>
      </c>
      <c r="BL75" t="s">
        <v>2798</v>
      </c>
      <c r="BM75" t="s">
        <v>5171</v>
      </c>
      <c r="BN75" t="s">
        <v>74</v>
      </c>
      <c r="BO75" t="s">
        <v>190</v>
      </c>
      <c r="BP75" t="s">
        <v>74</v>
      </c>
      <c r="BQ75" t="s">
        <v>74</v>
      </c>
      <c r="BR75" t="s">
        <v>105</v>
      </c>
      <c r="BS75" t="s">
        <v>5172</v>
      </c>
      <c r="BT75" t="str">
        <f>HYPERLINK("https%3A%2F%2Fwww.webofscience.com%2Fwos%2Fwoscc%2Ffull-record%2FWOS:000766637600002","View Full Record in Web of Science")</f>
        <v>View Full Record in Web of Science</v>
      </c>
    </row>
    <row r="76" spans="1:72" x14ac:dyDescent="0.2">
      <c r="A76" t="s">
        <v>72</v>
      </c>
      <c r="B76" t="s">
        <v>4930</v>
      </c>
      <c r="C76" t="s">
        <v>74</v>
      </c>
      <c r="D76" t="s">
        <v>74</v>
      </c>
      <c r="E76" t="s">
        <v>74</v>
      </c>
      <c r="F76" t="s">
        <v>4931</v>
      </c>
      <c r="G76" t="s">
        <v>74</v>
      </c>
      <c r="H76" t="s">
        <v>74</v>
      </c>
      <c r="I76" t="s">
        <v>4932</v>
      </c>
      <c r="J76" t="s">
        <v>1143</v>
      </c>
      <c r="K76" t="s">
        <v>74</v>
      </c>
      <c r="L76" t="s">
        <v>74</v>
      </c>
      <c r="M76" t="s">
        <v>78</v>
      </c>
      <c r="N76" t="s">
        <v>137</v>
      </c>
      <c r="O76" t="s">
        <v>74</v>
      </c>
      <c r="P76" t="s">
        <v>74</v>
      </c>
      <c r="Q76" t="s">
        <v>74</v>
      </c>
      <c r="R76" t="s">
        <v>74</v>
      </c>
      <c r="S76" t="s">
        <v>74</v>
      </c>
      <c r="T76" t="s">
        <v>4933</v>
      </c>
      <c r="U76" t="s">
        <v>4934</v>
      </c>
      <c r="V76" t="s">
        <v>4935</v>
      </c>
      <c r="W76" s="1" t="s">
        <v>4936</v>
      </c>
      <c r="X76" t="s">
        <v>4937</v>
      </c>
      <c r="Y76" t="s">
        <v>4938</v>
      </c>
      <c r="Z76" t="s">
        <v>4939</v>
      </c>
      <c r="AA76" t="s">
        <v>4940</v>
      </c>
      <c r="AB76" t="s">
        <v>4941</v>
      </c>
      <c r="AC76" t="s">
        <v>4942</v>
      </c>
      <c r="AD76" t="s">
        <v>4942</v>
      </c>
      <c r="AE76" t="s">
        <v>4943</v>
      </c>
      <c r="AF76" t="s">
        <v>4944</v>
      </c>
      <c r="AG76">
        <v>79</v>
      </c>
      <c r="AH76">
        <v>0</v>
      </c>
      <c r="AI76">
        <v>0</v>
      </c>
      <c r="AJ76">
        <v>5</v>
      </c>
      <c r="AK76">
        <v>5</v>
      </c>
      <c r="AL76" t="s">
        <v>1155</v>
      </c>
      <c r="AM76" t="s">
        <v>1156</v>
      </c>
      <c r="AN76" t="s">
        <v>1157</v>
      </c>
      <c r="AO76" t="s">
        <v>1158</v>
      </c>
      <c r="AP76" t="s">
        <v>1159</v>
      </c>
      <c r="AQ76" t="s">
        <v>74</v>
      </c>
      <c r="AR76" t="s">
        <v>1160</v>
      </c>
      <c r="AS76" t="s">
        <v>1161</v>
      </c>
      <c r="AT76" t="s">
        <v>4945</v>
      </c>
      <c r="AU76">
        <v>2023</v>
      </c>
      <c r="AV76" t="s">
        <v>74</v>
      </c>
      <c r="AW76" t="s">
        <v>74</v>
      </c>
      <c r="AX76" t="s">
        <v>74</v>
      </c>
      <c r="AY76" t="s">
        <v>74</v>
      </c>
      <c r="AZ76" t="s">
        <v>74</v>
      </c>
      <c r="BA76" t="s">
        <v>74</v>
      </c>
      <c r="BB76" t="s">
        <v>74</v>
      </c>
      <c r="BC76" t="s">
        <v>74</v>
      </c>
      <c r="BD76" t="s">
        <v>74</v>
      </c>
      <c r="BE76" t="s">
        <v>4946</v>
      </c>
      <c r="BF76" t="str">
        <f>HYPERLINK("http://dx.doi.org/10.1002/srin.202200460","http://dx.doi.org/10.1002/srin.202200460")</f>
        <v>http://dx.doi.org/10.1002/srin.202200460</v>
      </c>
      <c r="BG76" t="s">
        <v>74</v>
      </c>
      <c r="BH76" t="s">
        <v>446</v>
      </c>
      <c r="BI76">
        <v>16</v>
      </c>
      <c r="BJ76" t="s">
        <v>736</v>
      </c>
      <c r="BK76" t="s">
        <v>102</v>
      </c>
      <c r="BL76" t="s">
        <v>736</v>
      </c>
      <c r="BM76" t="s">
        <v>4947</v>
      </c>
      <c r="BN76" t="s">
        <v>74</v>
      </c>
      <c r="BO76" t="s">
        <v>74</v>
      </c>
      <c r="BP76" t="s">
        <v>74</v>
      </c>
      <c r="BQ76" t="s">
        <v>74</v>
      </c>
      <c r="BR76" t="s">
        <v>105</v>
      </c>
      <c r="BS76" t="s">
        <v>4948</v>
      </c>
      <c r="BT76" t="str">
        <f>HYPERLINK("https%3A%2F%2Fwww.webofscience.com%2Fwos%2Fwoscc%2Ffull-record%2FWOS:000945780500001","View Full Record in Web of Science")</f>
        <v>View Full Record in Web of Science</v>
      </c>
    </row>
    <row r="77" spans="1:72" x14ac:dyDescent="0.2">
      <c r="A77" t="s">
        <v>72</v>
      </c>
      <c r="B77" t="s">
        <v>1922</v>
      </c>
      <c r="C77" t="s">
        <v>74</v>
      </c>
      <c r="D77" t="s">
        <v>74</v>
      </c>
      <c r="E77" t="s">
        <v>74</v>
      </c>
      <c r="F77" t="s">
        <v>1923</v>
      </c>
      <c r="G77" t="s">
        <v>74</v>
      </c>
      <c r="H77" t="s">
        <v>74</v>
      </c>
      <c r="I77" t="s">
        <v>1924</v>
      </c>
      <c r="J77" t="s">
        <v>1925</v>
      </c>
      <c r="K77" t="s">
        <v>74</v>
      </c>
      <c r="L77" t="s">
        <v>74</v>
      </c>
      <c r="M77" t="s">
        <v>1517</v>
      </c>
      <c r="N77" t="s">
        <v>1518</v>
      </c>
      <c r="O77" t="s">
        <v>74</v>
      </c>
      <c r="P77" t="s">
        <v>74</v>
      </c>
      <c r="Q77" t="s">
        <v>74</v>
      </c>
      <c r="R77" t="s">
        <v>74</v>
      </c>
      <c r="S77" t="s">
        <v>74</v>
      </c>
      <c r="T77" t="s">
        <v>74</v>
      </c>
      <c r="U77" t="s">
        <v>74</v>
      </c>
      <c r="V77" t="s">
        <v>74</v>
      </c>
      <c r="W77" s="1" t="s">
        <v>1926</v>
      </c>
      <c r="X77" t="s">
        <v>84</v>
      </c>
      <c r="Y77" t="s">
        <v>1927</v>
      </c>
      <c r="Z77" t="s">
        <v>1928</v>
      </c>
      <c r="AA77" t="s">
        <v>74</v>
      </c>
      <c r="AB77" t="s">
        <v>74</v>
      </c>
      <c r="AC77" t="s">
        <v>74</v>
      </c>
      <c r="AD77" t="s">
        <v>74</v>
      </c>
      <c r="AE77" t="s">
        <v>74</v>
      </c>
      <c r="AF77" t="s">
        <v>1929</v>
      </c>
      <c r="AG77">
        <v>1</v>
      </c>
      <c r="AH77">
        <v>0</v>
      </c>
      <c r="AI77">
        <v>0</v>
      </c>
      <c r="AJ77">
        <v>0</v>
      </c>
      <c r="AK77">
        <v>0</v>
      </c>
      <c r="AL77" t="s">
        <v>1930</v>
      </c>
      <c r="AM77" t="s">
        <v>1931</v>
      </c>
      <c r="AN77" t="s">
        <v>1932</v>
      </c>
      <c r="AO77" t="s">
        <v>1933</v>
      </c>
      <c r="AP77" t="s">
        <v>1934</v>
      </c>
      <c r="AQ77" t="s">
        <v>74</v>
      </c>
      <c r="AR77" t="s">
        <v>1935</v>
      </c>
      <c r="AS77" t="s">
        <v>1936</v>
      </c>
      <c r="AT77" t="s">
        <v>1487</v>
      </c>
      <c r="AU77">
        <v>2022</v>
      </c>
      <c r="AV77">
        <v>8</v>
      </c>
      <c r="AW77">
        <v>31</v>
      </c>
      <c r="AX77" t="s">
        <v>74</v>
      </c>
      <c r="AY77" t="s">
        <v>74</v>
      </c>
      <c r="AZ77" t="s">
        <v>74</v>
      </c>
      <c r="BA77" t="s">
        <v>74</v>
      </c>
      <c r="BB77">
        <v>175</v>
      </c>
      <c r="BC77">
        <v>179</v>
      </c>
      <c r="BD77" t="s">
        <v>74</v>
      </c>
      <c r="BE77" t="s">
        <v>1937</v>
      </c>
      <c r="BF77" t="str">
        <f>HYPERLINK("http://dx.doi.org/10.19053/01235095.v8.n31.2022.15299","http://dx.doi.org/10.19053/01235095.v8.n31.2022.15299")</f>
        <v>http://dx.doi.org/10.19053/01235095.v8.n31.2022.15299</v>
      </c>
      <c r="BG77" t="s">
        <v>74</v>
      </c>
      <c r="BH77" t="s">
        <v>74</v>
      </c>
      <c r="BI77">
        <v>5</v>
      </c>
      <c r="BJ77" t="s">
        <v>1938</v>
      </c>
      <c r="BK77" t="s">
        <v>187</v>
      </c>
      <c r="BL77" t="s">
        <v>1938</v>
      </c>
      <c r="BM77" t="s">
        <v>1939</v>
      </c>
      <c r="BN77" t="s">
        <v>74</v>
      </c>
      <c r="BO77" t="s">
        <v>190</v>
      </c>
      <c r="BP77" t="s">
        <v>74</v>
      </c>
      <c r="BQ77" t="s">
        <v>74</v>
      </c>
      <c r="BR77" t="s">
        <v>105</v>
      </c>
      <c r="BS77" t="s">
        <v>1940</v>
      </c>
      <c r="BT77" t="str">
        <f>HYPERLINK("https%3A%2F%2Fwww.webofscience.com%2Fwos%2Fwoscc%2Ffull-record%2FWOS:000905329300001","View Full Record in Web of Science")</f>
        <v>View Full Record in Web of Science</v>
      </c>
    </row>
    <row r="78" spans="1:72" x14ac:dyDescent="0.2">
      <c r="A78" t="s">
        <v>72</v>
      </c>
      <c r="B78" t="s">
        <v>6105</v>
      </c>
      <c r="C78" t="s">
        <v>74</v>
      </c>
      <c r="D78" t="s">
        <v>74</v>
      </c>
      <c r="E78" t="s">
        <v>74</v>
      </c>
      <c r="F78" t="s">
        <v>6106</v>
      </c>
      <c r="G78" t="s">
        <v>74</v>
      </c>
      <c r="H78" t="s">
        <v>74</v>
      </c>
      <c r="I78" t="s">
        <v>6107</v>
      </c>
      <c r="J78" t="s">
        <v>4259</v>
      </c>
      <c r="K78" t="s">
        <v>74</v>
      </c>
      <c r="L78" t="s">
        <v>74</v>
      </c>
      <c r="M78" t="s">
        <v>78</v>
      </c>
      <c r="N78" t="s">
        <v>167</v>
      </c>
      <c r="O78" t="s">
        <v>74</v>
      </c>
      <c r="P78" t="s">
        <v>74</v>
      </c>
      <c r="Q78" t="s">
        <v>74</v>
      </c>
      <c r="R78" t="s">
        <v>74</v>
      </c>
      <c r="S78" t="s">
        <v>74</v>
      </c>
      <c r="T78" t="s">
        <v>6108</v>
      </c>
      <c r="U78" t="s">
        <v>6109</v>
      </c>
      <c r="V78" t="s">
        <v>6110</v>
      </c>
      <c r="W78" s="1" t="s">
        <v>6111</v>
      </c>
      <c r="X78" t="s">
        <v>6112</v>
      </c>
      <c r="Y78" t="s">
        <v>6113</v>
      </c>
      <c r="Z78" t="s">
        <v>6114</v>
      </c>
      <c r="AA78" t="s">
        <v>6115</v>
      </c>
      <c r="AB78" t="s">
        <v>6116</v>
      </c>
      <c r="AC78" t="s">
        <v>6117</v>
      </c>
      <c r="AD78" t="s">
        <v>6117</v>
      </c>
      <c r="AE78" t="s">
        <v>6118</v>
      </c>
      <c r="AF78" t="s">
        <v>6119</v>
      </c>
      <c r="AG78">
        <v>127</v>
      </c>
      <c r="AH78">
        <v>0</v>
      </c>
      <c r="AI78">
        <v>0</v>
      </c>
      <c r="AJ78">
        <v>5</v>
      </c>
      <c r="AK78">
        <v>9</v>
      </c>
      <c r="AL78" t="s">
        <v>93</v>
      </c>
      <c r="AM78" t="s">
        <v>94</v>
      </c>
      <c r="AN78" t="s">
        <v>95</v>
      </c>
      <c r="AO78" t="s">
        <v>74</v>
      </c>
      <c r="AP78" t="s">
        <v>4269</v>
      </c>
      <c r="AQ78" t="s">
        <v>74</v>
      </c>
      <c r="AR78" t="s">
        <v>4270</v>
      </c>
      <c r="AS78" t="s">
        <v>4271</v>
      </c>
      <c r="AT78" t="s">
        <v>460</v>
      </c>
      <c r="AU78">
        <v>2022</v>
      </c>
      <c r="AV78">
        <v>11</v>
      </c>
      <c r="AW78">
        <v>15</v>
      </c>
      <c r="AX78" t="s">
        <v>74</v>
      </c>
      <c r="AY78" t="s">
        <v>74</v>
      </c>
      <c r="AZ78" t="s">
        <v>74</v>
      </c>
      <c r="BA78" t="s">
        <v>74</v>
      </c>
      <c r="BB78" t="s">
        <v>74</v>
      </c>
      <c r="BC78" t="s">
        <v>74</v>
      </c>
      <c r="BD78">
        <v>2463</v>
      </c>
      <c r="BE78" t="s">
        <v>6120</v>
      </c>
      <c r="BF78" t="str">
        <f>HYPERLINK("http://dx.doi.org/10.3390/electronics11152463","http://dx.doi.org/10.3390/electronics11152463")</f>
        <v>http://dx.doi.org/10.3390/electronics11152463</v>
      </c>
      <c r="BG78" t="s">
        <v>74</v>
      </c>
      <c r="BH78" t="s">
        <v>74</v>
      </c>
      <c r="BI78">
        <v>20</v>
      </c>
      <c r="BJ78" t="s">
        <v>4273</v>
      </c>
      <c r="BK78" t="s">
        <v>102</v>
      </c>
      <c r="BL78" t="s">
        <v>4274</v>
      </c>
      <c r="BM78" t="s">
        <v>6121</v>
      </c>
      <c r="BN78" t="s">
        <v>74</v>
      </c>
      <c r="BO78" t="s">
        <v>6122</v>
      </c>
      <c r="BP78" t="s">
        <v>74</v>
      </c>
      <c r="BQ78" t="s">
        <v>74</v>
      </c>
      <c r="BR78" t="s">
        <v>105</v>
      </c>
      <c r="BS78" t="s">
        <v>6123</v>
      </c>
      <c r="BT78" t="str">
        <f>HYPERLINK("https%3A%2F%2Fwww.webofscience.com%2Fwos%2Fwoscc%2Ffull-record%2FWOS:000839196300001","View Full Record in Web of Science")</f>
        <v>View Full Record in Web of Science</v>
      </c>
    </row>
    <row r="79" spans="1:72" x14ac:dyDescent="0.2">
      <c r="A79" t="s">
        <v>72</v>
      </c>
      <c r="B79" t="s">
        <v>2667</v>
      </c>
      <c r="C79" t="s">
        <v>74</v>
      </c>
      <c r="D79" t="s">
        <v>74</v>
      </c>
      <c r="E79" t="s">
        <v>74</v>
      </c>
      <c r="F79" t="s">
        <v>2668</v>
      </c>
      <c r="G79" t="s">
        <v>74</v>
      </c>
      <c r="H79" t="s">
        <v>74</v>
      </c>
      <c r="I79" t="s">
        <v>2669</v>
      </c>
      <c r="J79" t="s">
        <v>2670</v>
      </c>
      <c r="K79" t="s">
        <v>74</v>
      </c>
      <c r="L79" t="s">
        <v>74</v>
      </c>
      <c r="M79" t="s">
        <v>1517</v>
      </c>
      <c r="N79" t="s">
        <v>79</v>
      </c>
      <c r="O79" t="s">
        <v>74</v>
      </c>
      <c r="P79" t="s">
        <v>74</v>
      </c>
      <c r="Q79" t="s">
        <v>74</v>
      </c>
      <c r="R79" t="s">
        <v>74</v>
      </c>
      <c r="S79" t="s">
        <v>74</v>
      </c>
      <c r="T79" t="s">
        <v>2671</v>
      </c>
      <c r="U79" t="s">
        <v>74</v>
      </c>
      <c r="V79" t="s">
        <v>2672</v>
      </c>
      <c r="W79" s="1" t="s">
        <v>2673</v>
      </c>
      <c r="X79" t="s">
        <v>84</v>
      </c>
      <c r="Y79" t="s">
        <v>2674</v>
      </c>
      <c r="Z79" t="s">
        <v>2675</v>
      </c>
      <c r="AA79" t="s">
        <v>74</v>
      </c>
      <c r="AB79" t="s">
        <v>74</v>
      </c>
      <c r="AC79" t="s">
        <v>74</v>
      </c>
      <c r="AD79" t="s">
        <v>74</v>
      </c>
      <c r="AE79" t="s">
        <v>74</v>
      </c>
      <c r="AF79" t="s">
        <v>2676</v>
      </c>
      <c r="AG79">
        <v>18</v>
      </c>
      <c r="AH79">
        <v>0</v>
      </c>
      <c r="AI79">
        <v>0</v>
      </c>
      <c r="AJ79">
        <v>0</v>
      </c>
      <c r="AK79">
        <v>0</v>
      </c>
      <c r="AL79" t="s">
        <v>2677</v>
      </c>
      <c r="AM79" t="s">
        <v>2678</v>
      </c>
      <c r="AN79" t="s">
        <v>2679</v>
      </c>
      <c r="AO79" t="s">
        <v>2680</v>
      </c>
      <c r="AP79" t="s">
        <v>2681</v>
      </c>
      <c r="AQ79" t="s">
        <v>74</v>
      </c>
      <c r="AR79" t="s">
        <v>2670</v>
      </c>
      <c r="AS79" t="s">
        <v>2682</v>
      </c>
      <c r="AT79" t="s">
        <v>1487</v>
      </c>
      <c r="AU79">
        <v>2022</v>
      </c>
      <c r="AV79">
        <v>43</v>
      </c>
      <c r="AW79">
        <v>2</v>
      </c>
      <c r="AX79" t="s">
        <v>74</v>
      </c>
      <c r="AY79" t="s">
        <v>74</v>
      </c>
      <c r="AZ79" t="s">
        <v>74</v>
      </c>
      <c r="BA79" t="s">
        <v>74</v>
      </c>
      <c r="BB79">
        <v>87</v>
      </c>
      <c r="BC79">
        <v>108</v>
      </c>
      <c r="BD79" t="s">
        <v>74</v>
      </c>
      <c r="BE79" t="s">
        <v>2683</v>
      </c>
      <c r="BF79" t="str">
        <f>HYPERLINK("http://dx.doi.org/10.19130/iifl.ap.2022.2.178x270s5","http://dx.doi.org/10.19130/iifl.ap.2022.2.178x270s5")</f>
        <v>http://dx.doi.org/10.19130/iifl.ap.2022.2.178x270s5</v>
      </c>
      <c r="BG79" t="s">
        <v>74</v>
      </c>
      <c r="BH79" t="s">
        <v>74</v>
      </c>
      <c r="BI79">
        <v>22</v>
      </c>
      <c r="BJ79" t="s">
        <v>2684</v>
      </c>
      <c r="BK79" t="s">
        <v>187</v>
      </c>
      <c r="BL79" t="s">
        <v>2028</v>
      </c>
      <c r="BM79" t="s">
        <v>2685</v>
      </c>
      <c r="BN79" t="s">
        <v>74</v>
      </c>
      <c r="BO79" t="s">
        <v>1111</v>
      </c>
      <c r="BP79" t="s">
        <v>74</v>
      </c>
      <c r="BQ79" t="s">
        <v>74</v>
      </c>
      <c r="BR79" t="s">
        <v>105</v>
      </c>
      <c r="BS79" t="s">
        <v>2686</v>
      </c>
      <c r="BT79" t="str">
        <f>HYPERLINK("https%3A%2F%2Fwww.webofscience.com%2Fwos%2Fwoscc%2Ffull-record%2FWOS:000852706100005","View Full Record in Web of Science")</f>
        <v>View Full Record in Web of Science</v>
      </c>
    </row>
    <row r="80" spans="1:72" x14ac:dyDescent="0.2">
      <c r="A80" t="s">
        <v>72</v>
      </c>
      <c r="B80" t="s">
        <v>859</v>
      </c>
      <c r="C80" t="s">
        <v>74</v>
      </c>
      <c r="D80" t="s">
        <v>74</v>
      </c>
      <c r="E80" t="s">
        <v>74</v>
      </c>
      <c r="F80" t="s">
        <v>860</v>
      </c>
      <c r="G80" t="s">
        <v>74</v>
      </c>
      <c r="H80" t="s">
        <v>74</v>
      </c>
      <c r="I80" t="s">
        <v>861</v>
      </c>
      <c r="J80" t="s">
        <v>862</v>
      </c>
      <c r="K80" t="s">
        <v>74</v>
      </c>
      <c r="L80" t="s">
        <v>74</v>
      </c>
      <c r="M80" t="s">
        <v>78</v>
      </c>
      <c r="N80" t="s">
        <v>167</v>
      </c>
      <c r="O80" t="s">
        <v>74</v>
      </c>
      <c r="P80" t="s">
        <v>74</v>
      </c>
      <c r="Q80" t="s">
        <v>74</v>
      </c>
      <c r="R80" t="s">
        <v>74</v>
      </c>
      <c r="S80" t="s">
        <v>74</v>
      </c>
      <c r="T80" t="s">
        <v>863</v>
      </c>
      <c r="U80" t="s">
        <v>864</v>
      </c>
      <c r="V80" t="s">
        <v>865</v>
      </c>
      <c r="W80" s="1" t="s">
        <v>866</v>
      </c>
      <c r="X80" t="s">
        <v>867</v>
      </c>
      <c r="Y80" t="s">
        <v>868</v>
      </c>
      <c r="Z80" t="s">
        <v>869</v>
      </c>
      <c r="AA80" t="s">
        <v>870</v>
      </c>
      <c r="AB80" t="s">
        <v>871</v>
      </c>
      <c r="AC80" t="s">
        <v>872</v>
      </c>
      <c r="AD80" t="s">
        <v>873</v>
      </c>
      <c r="AE80" t="s">
        <v>874</v>
      </c>
      <c r="AF80" t="s">
        <v>875</v>
      </c>
      <c r="AG80">
        <v>169</v>
      </c>
      <c r="AH80">
        <v>9</v>
      </c>
      <c r="AI80">
        <v>9</v>
      </c>
      <c r="AJ80">
        <v>5</v>
      </c>
      <c r="AK80">
        <v>7</v>
      </c>
      <c r="AL80" t="s">
        <v>93</v>
      </c>
      <c r="AM80" t="s">
        <v>94</v>
      </c>
      <c r="AN80" t="s">
        <v>95</v>
      </c>
      <c r="AO80" t="s">
        <v>74</v>
      </c>
      <c r="AP80" t="s">
        <v>876</v>
      </c>
      <c r="AQ80" t="s">
        <v>74</v>
      </c>
      <c r="AR80" t="s">
        <v>862</v>
      </c>
      <c r="AS80" t="s">
        <v>877</v>
      </c>
      <c r="AT80" t="s">
        <v>460</v>
      </c>
      <c r="AU80">
        <v>2022</v>
      </c>
      <c r="AV80">
        <v>27</v>
      </c>
      <c r="AW80">
        <v>15</v>
      </c>
      <c r="AX80" t="s">
        <v>74</v>
      </c>
      <c r="AY80" t="s">
        <v>74</v>
      </c>
      <c r="AZ80" t="s">
        <v>74</v>
      </c>
      <c r="BA80" t="s">
        <v>74</v>
      </c>
      <c r="BB80" t="s">
        <v>74</v>
      </c>
      <c r="BC80" t="s">
        <v>74</v>
      </c>
      <c r="BD80">
        <v>4723</v>
      </c>
      <c r="BE80" t="s">
        <v>878</v>
      </c>
      <c r="BF80" t="str">
        <f>HYPERLINK("http://dx.doi.org/10.3390/molecules27154723","http://dx.doi.org/10.3390/molecules27154723")</f>
        <v>http://dx.doi.org/10.3390/molecules27154723</v>
      </c>
      <c r="BG80" t="s">
        <v>74</v>
      </c>
      <c r="BH80" t="s">
        <v>74</v>
      </c>
      <c r="BI80">
        <v>82</v>
      </c>
      <c r="BJ80" t="s">
        <v>879</v>
      </c>
      <c r="BK80" t="s">
        <v>102</v>
      </c>
      <c r="BL80" t="s">
        <v>880</v>
      </c>
      <c r="BM80" t="s">
        <v>881</v>
      </c>
      <c r="BN80">
        <v>35897899</v>
      </c>
      <c r="BO80" t="s">
        <v>131</v>
      </c>
      <c r="BP80" t="s">
        <v>74</v>
      </c>
      <c r="BQ80" t="s">
        <v>74</v>
      </c>
      <c r="BR80" t="s">
        <v>105</v>
      </c>
      <c r="BS80" t="s">
        <v>882</v>
      </c>
      <c r="BT80" t="str">
        <f>HYPERLINK("https%3A%2F%2Fwww.webofscience.com%2Fwos%2Fwoscc%2Ffull-record%2FWOS:000839778900001","View Full Record in Web of Science")</f>
        <v>View Full Record in Web of Science</v>
      </c>
    </row>
    <row r="81" spans="1:72" x14ac:dyDescent="0.2">
      <c r="A81" t="s">
        <v>72</v>
      </c>
      <c r="B81" t="s">
        <v>4785</v>
      </c>
      <c r="C81" t="s">
        <v>74</v>
      </c>
      <c r="D81" t="s">
        <v>74</v>
      </c>
      <c r="E81" t="s">
        <v>74</v>
      </c>
      <c r="F81" t="s">
        <v>4786</v>
      </c>
      <c r="G81" t="s">
        <v>74</v>
      </c>
      <c r="H81" t="s">
        <v>74</v>
      </c>
      <c r="I81" t="s">
        <v>4787</v>
      </c>
      <c r="J81" t="s">
        <v>4788</v>
      </c>
      <c r="K81" t="s">
        <v>74</v>
      </c>
      <c r="L81" t="s">
        <v>74</v>
      </c>
      <c r="M81" t="s">
        <v>78</v>
      </c>
      <c r="N81" t="s">
        <v>79</v>
      </c>
      <c r="O81" t="s">
        <v>74</v>
      </c>
      <c r="P81" t="s">
        <v>74</v>
      </c>
      <c r="Q81" t="s">
        <v>74</v>
      </c>
      <c r="R81" t="s">
        <v>74</v>
      </c>
      <c r="S81" t="s">
        <v>74</v>
      </c>
      <c r="T81" t="s">
        <v>4789</v>
      </c>
      <c r="U81" t="s">
        <v>74</v>
      </c>
      <c r="V81" t="s">
        <v>4790</v>
      </c>
      <c r="W81" s="1" t="s">
        <v>4791</v>
      </c>
      <c r="X81" t="s">
        <v>4792</v>
      </c>
      <c r="Y81" t="s">
        <v>4793</v>
      </c>
      <c r="Z81" t="s">
        <v>4794</v>
      </c>
      <c r="AA81" t="s">
        <v>74</v>
      </c>
      <c r="AB81" t="s">
        <v>74</v>
      </c>
      <c r="AC81" t="s">
        <v>4795</v>
      </c>
      <c r="AD81" t="s">
        <v>4796</v>
      </c>
      <c r="AE81" t="s">
        <v>4797</v>
      </c>
      <c r="AF81" t="s">
        <v>4798</v>
      </c>
      <c r="AG81">
        <v>68</v>
      </c>
      <c r="AH81">
        <v>0</v>
      </c>
      <c r="AI81">
        <v>0</v>
      </c>
      <c r="AJ81">
        <v>0</v>
      </c>
      <c r="AK81">
        <v>0</v>
      </c>
      <c r="AL81" t="s">
        <v>150</v>
      </c>
      <c r="AM81" t="s">
        <v>151</v>
      </c>
      <c r="AN81" t="s">
        <v>152</v>
      </c>
      <c r="AO81" t="s">
        <v>4799</v>
      </c>
      <c r="AP81" t="s">
        <v>74</v>
      </c>
      <c r="AQ81" t="s">
        <v>74</v>
      </c>
      <c r="AR81" t="s">
        <v>4800</v>
      </c>
      <c r="AS81" t="s">
        <v>4801</v>
      </c>
      <c r="AT81" t="s">
        <v>1360</v>
      </c>
      <c r="AU81">
        <v>2023</v>
      </c>
      <c r="AV81" t="s">
        <v>74</v>
      </c>
      <c r="AW81">
        <v>3</v>
      </c>
      <c r="AX81" t="s">
        <v>74</v>
      </c>
      <c r="AY81" t="s">
        <v>74</v>
      </c>
      <c r="AZ81" t="s">
        <v>74</v>
      </c>
      <c r="BA81" t="s">
        <v>74</v>
      </c>
      <c r="BB81" t="s">
        <v>74</v>
      </c>
      <c r="BC81" t="s">
        <v>74</v>
      </c>
      <c r="BD81">
        <v>100</v>
      </c>
      <c r="BE81" t="s">
        <v>4802</v>
      </c>
      <c r="BF81" t="str">
        <f>HYPERLINK("http://dx.doi.org/10.1007/JHEP03(2023)100","http://dx.doi.org/10.1007/JHEP03(2023)100")</f>
        <v>http://dx.doi.org/10.1007/JHEP03(2023)100</v>
      </c>
      <c r="BG81" t="s">
        <v>74</v>
      </c>
      <c r="BH81" t="s">
        <v>74</v>
      </c>
      <c r="BI81">
        <v>25</v>
      </c>
      <c r="BJ81" t="s">
        <v>4803</v>
      </c>
      <c r="BK81" t="s">
        <v>102</v>
      </c>
      <c r="BL81" t="s">
        <v>905</v>
      </c>
      <c r="BM81" t="s">
        <v>4804</v>
      </c>
      <c r="BN81" t="s">
        <v>74</v>
      </c>
      <c r="BO81" t="s">
        <v>419</v>
      </c>
      <c r="BP81" t="s">
        <v>74</v>
      </c>
      <c r="BQ81" t="s">
        <v>74</v>
      </c>
      <c r="BR81" t="s">
        <v>105</v>
      </c>
      <c r="BS81" t="s">
        <v>4805</v>
      </c>
      <c r="BT81" t="str">
        <f>HYPERLINK("https%3A%2F%2Fwww.webofscience.com%2Fwos%2Fwoscc%2Ffull-record%2FWOS:000952202500001","View Full Record in Web of Science")</f>
        <v>View Full Record in Web of Science</v>
      </c>
    </row>
    <row r="82" spans="1:72" x14ac:dyDescent="0.2">
      <c r="A82" t="s">
        <v>72</v>
      </c>
      <c r="B82" t="s">
        <v>558</v>
      </c>
      <c r="C82" t="s">
        <v>74</v>
      </c>
      <c r="D82" t="s">
        <v>74</v>
      </c>
      <c r="E82" t="s">
        <v>74</v>
      </c>
      <c r="F82" t="s">
        <v>559</v>
      </c>
      <c r="G82" t="s">
        <v>74</v>
      </c>
      <c r="H82" t="s">
        <v>74</v>
      </c>
      <c r="I82" t="s">
        <v>560</v>
      </c>
      <c r="J82" t="s">
        <v>561</v>
      </c>
      <c r="K82" t="s">
        <v>74</v>
      </c>
      <c r="L82" t="s">
        <v>74</v>
      </c>
      <c r="M82" t="s">
        <v>78</v>
      </c>
      <c r="N82" t="s">
        <v>79</v>
      </c>
      <c r="O82" t="s">
        <v>74</v>
      </c>
      <c r="P82" t="s">
        <v>74</v>
      </c>
      <c r="Q82" t="s">
        <v>74</v>
      </c>
      <c r="R82" t="s">
        <v>74</v>
      </c>
      <c r="S82" t="s">
        <v>74</v>
      </c>
      <c r="T82" t="s">
        <v>562</v>
      </c>
      <c r="U82" t="s">
        <v>563</v>
      </c>
      <c r="V82" t="s">
        <v>564</v>
      </c>
      <c r="W82" s="1" t="s">
        <v>565</v>
      </c>
      <c r="X82" t="s">
        <v>84</v>
      </c>
      <c r="Y82" t="s">
        <v>566</v>
      </c>
      <c r="Z82" t="s">
        <v>567</v>
      </c>
      <c r="AA82" t="s">
        <v>568</v>
      </c>
      <c r="AB82" t="s">
        <v>569</v>
      </c>
      <c r="AC82" t="s">
        <v>570</v>
      </c>
      <c r="AD82" t="s">
        <v>571</v>
      </c>
      <c r="AE82" t="s">
        <v>572</v>
      </c>
      <c r="AF82" t="s">
        <v>573</v>
      </c>
      <c r="AG82">
        <v>51</v>
      </c>
      <c r="AH82">
        <v>0</v>
      </c>
      <c r="AI82">
        <v>0</v>
      </c>
      <c r="AJ82">
        <v>1</v>
      </c>
      <c r="AK82">
        <v>1</v>
      </c>
      <c r="AL82" t="s">
        <v>93</v>
      </c>
      <c r="AM82" t="s">
        <v>94</v>
      </c>
      <c r="AN82" t="s">
        <v>95</v>
      </c>
      <c r="AO82" t="s">
        <v>74</v>
      </c>
      <c r="AP82" t="s">
        <v>574</v>
      </c>
      <c r="AQ82" t="s">
        <v>74</v>
      </c>
      <c r="AR82" t="s">
        <v>575</v>
      </c>
      <c r="AS82" t="s">
        <v>576</v>
      </c>
      <c r="AT82" t="s">
        <v>99</v>
      </c>
      <c r="AU82">
        <v>2023</v>
      </c>
      <c r="AV82">
        <v>11</v>
      </c>
      <c r="AW82">
        <v>2</v>
      </c>
      <c r="AX82" t="s">
        <v>74</v>
      </c>
      <c r="AY82" t="s">
        <v>74</v>
      </c>
      <c r="AZ82" t="s">
        <v>74</v>
      </c>
      <c r="BA82" t="s">
        <v>74</v>
      </c>
      <c r="BB82" t="s">
        <v>74</v>
      </c>
      <c r="BC82" t="s">
        <v>74</v>
      </c>
      <c r="BD82">
        <v>412</v>
      </c>
      <c r="BE82" t="s">
        <v>577</v>
      </c>
      <c r="BF82" t="str">
        <f>HYPERLINK("http://dx.doi.org/10.3390/math11020412","http://dx.doi.org/10.3390/math11020412")</f>
        <v>http://dx.doi.org/10.3390/math11020412</v>
      </c>
      <c r="BG82" t="s">
        <v>74</v>
      </c>
      <c r="BH82" t="s">
        <v>74</v>
      </c>
      <c r="BI82">
        <v>35</v>
      </c>
      <c r="BJ82" t="s">
        <v>576</v>
      </c>
      <c r="BK82" t="s">
        <v>102</v>
      </c>
      <c r="BL82" t="s">
        <v>576</v>
      </c>
      <c r="BM82" t="s">
        <v>578</v>
      </c>
      <c r="BN82" t="s">
        <v>74</v>
      </c>
      <c r="BO82" t="s">
        <v>190</v>
      </c>
      <c r="BP82" t="s">
        <v>74</v>
      </c>
      <c r="BQ82" t="s">
        <v>74</v>
      </c>
      <c r="BR82" t="s">
        <v>105</v>
      </c>
      <c r="BS82" t="s">
        <v>579</v>
      </c>
      <c r="BT82" t="str">
        <f>HYPERLINK("https%3A%2F%2Fwww.webofscience.com%2Fwos%2Fwoscc%2Ffull-record%2FWOS:000918912600001","View Full Record in Web of Science")</f>
        <v>View Full Record in Web of Science</v>
      </c>
    </row>
    <row r="83" spans="1:72" x14ac:dyDescent="0.2">
      <c r="A83" t="s">
        <v>72</v>
      </c>
      <c r="B83" t="s">
        <v>3455</v>
      </c>
      <c r="C83" t="s">
        <v>74</v>
      </c>
      <c r="D83" t="s">
        <v>74</v>
      </c>
      <c r="E83" t="s">
        <v>74</v>
      </c>
      <c r="F83" t="s">
        <v>3456</v>
      </c>
      <c r="G83" t="s">
        <v>74</v>
      </c>
      <c r="H83" t="s">
        <v>74</v>
      </c>
      <c r="I83" t="s">
        <v>3457</v>
      </c>
      <c r="J83" t="s">
        <v>2246</v>
      </c>
      <c r="K83" t="s">
        <v>74</v>
      </c>
      <c r="L83" t="s">
        <v>74</v>
      </c>
      <c r="M83" t="s">
        <v>1517</v>
      </c>
      <c r="N83" t="s">
        <v>79</v>
      </c>
      <c r="O83" t="s">
        <v>74</v>
      </c>
      <c r="P83" t="s">
        <v>74</v>
      </c>
      <c r="Q83" t="s">
        <v>74</v>
      </c>
      <c r="R83" t="s">
        <v>74</v>
      </c>
      <c r="S83" t="s">
        <v>74</v>
      </c>
      <c r="T83" t="s">
        <v>3458</v>
      </c>
      <c r="U83" t="s">
        <v>3459</v>
      </c>
      <c r="V83" t="s">
        <v>3460</v>
      </c>
      <c r="W83" s="1" t="s">
        <v>3461</v>
      </c>
      <c r="X83" t="s">
        <v>701</v>
      </c>
      <c r="Y83" t="s">
        <v>3462</v>
      </c>
      <c r="Z83" t="s">
        <v>3463</v>
      </c>
      <c r="AA83" t="s">
        <v>74</v>
      </c>
      <c r="AB83" t="s">
        <v>74</v>
      </c>
      <c r="AC83" t="s">
        <v>74</v>
      </c>
      <c r="AD83" t="s">
        <v>74</v>
      </c>
      <c r="AE83" t="s">
        <v>74</v>
      </c>
      <c r="AF83" t="s">
        <v>3464</v>
      </c>
      <c r="AG83">
        <v>45</v>
      </c>
      <c r="AH83">
        <v>0</v>
      </c>
      <c r="AI83">
        <v>0</v>
      </c>
      <c r="AJ83">
        <v>1</v>
      </c>
      <c r="AK83">
        <v>1</v>
      </c>
      <c r="AL83" t="s">
        <v>2253</v>
      </c>
      <c r="AM83" t="s">
        <v>316</v>
      </c>
      <c r="AN83" t="s">
        <v>2254</v>
      </c>
      <c r="AO83" t="s">
        <v>2255</v>
      </c>
      <c r="AP83" t="s">
        <v>2256</v>
      </c>
      <c r="AQ83" t="s">
        <v>74</v>
      </c>
      <c r="AR83" t="s">
        <v>2257</v>
      </c>
      <c r="AS83" t="s">
        <v>2258</v>
      </c>
      <c r="AT83" t="s">
        <v>2068</v>
      </c>
      <c r="AU83">
        <v>2022</v>
      </c>
      <c r="AV83">
        <v>27</v>
      </c>
      <c r="AW83">
        <v>3</v>
      </c>
      <c r="AX83" t="s">
        <v>74</v>
      </c>
      <c r="AY83" t="s">
        <v>74</v>
      </c>
      <c r="AZ83" t="s">
        <v>74</v>
      </c>
      <c r="BA83" t="s">
        <v>74</v>
      </c>
      <c r="BB83">
        <v>439</v>
      </c>
      <c r="BC83">
        <v>448</v>
      </c>
      <c r="BD83" t="s">
        <v>74</v>
      </c>
      <c r="BE83" t="s">
        <v>3465</v>
      </c>
      <c r="BF83" t="str">
        <f>HYPERLINK("http://dx.doi.org/10.15446/abc.v27n3.96342","http://dx.doi.org/10.15446/abc.v27n3.96342")</f>
        <v>http://dx.doi.org/10.15446/abc.v27n3.96342</v>
      </c>
      <c r="BG83" t="s">
        <v>74</v>
      </c>
      <c r="BH83" t="s">
        <v>74</v>
      </c>
      <c r="BI83">
        <v>10</v>
      </c>
      <c r="BJ83" t="s">
        <v>2260</v>
      </c>
      <c r="BK83" t="s">
        <v>102</v>
      </c>
      <c r="BL83" t="s">
        <v>2260</v>
      </c>
      <c r="BM83" t="s">
        <v>3466</v>
      </c>
      <c r="BN83" t="s">
        <v>74</v>
      </c>
      <c r="BO83" t="s">
        <v>190</v>
      </c>
      <c r="BP83" t="s">
        <v>74</v>
      </c>
      <c r="BQ83" t="s">
        <v>74</v>
      </c>
      <c r="BR83" t="s">
        <v>105</v>
      </c>
      <c r="BS83" t="s">
        <v>3467</v>
      </c>
      <c r="BT83" t="str">
        <f>HYPERLINK("https%3A%2F%2Fwww.webofscience.com%2Fwos%2Fwoscc%2Ffull-record%2FWOS:000928396900013","View Full Record in Web of Science")</f>
        <v>View Full Record in Web of Science</v>
      </c>
    </row>
    <row r="84" spans="1:72" x14ac:dyDescent="0.2">
      <c r="A84" t="s">
        <v>72</v>
      </c>
      <c r="B84" t="s">
        <v>3417</v>
      </c>
      <c r="C84" t="s">
        <v>74</v>
      </c>
      <c r="D84" t="s">
        <v>74</v>
      </c>
      <c r="E84" t="s">
        <v>74</v>
      </c>
      <c r="F84" t="s">
        <v>3418</v>
      </c>
      <c r="G84" t="s">
        <v>74</v>
      </c>
      <c r="H84" t="s">
        <v>74</v>
      </c>
      <c r="I84" t="s">
        <v>3419</v>
      </c>
      <c r="J84" t="s">
        <v>3420</v>
      </c>
      <c r="K84" t="s">
        <v>74</v>
      </c>
      <c r="L84" t="s">
        <v>74</v>
      </c>
      <c r="M84" t="s">
        <v>1517</v>
      </c>
      <c r="N84" t="s">
        <v>79</v>
      </c>
      <c r="O84" t="s">
        <v>74</v>
      </c>
      <c r="P84" t="s">
        <v>74</v>
      </c>
      <c r="Q84" t="s">
        <v>74</v>
      </c>
      <c r="R84" t="s">
        <v>74</v>
      </c>
      <c r="S84" t="s">
        <v>74</v>
      </c>
      <c r="T84" t="s">
        <v>3421</v>
      </c>
      <c r="U84" t="s">
        <v>74</v>
      </c>
      <c r="V84" t="s">
        <v>3422</v>
      </c>
      <c r="W84" s="1" t="s">
        <v>3423</v>
      </c>
      <c r="X84" t="s">
        <v>3424</v>
      </c>
      <c r="Y84" t="s">
        <v>3425</v>
      </c>
      <c r="Z84" t="s">
        <v>3426</v>
      </c>
      <c r="AA84" t="s">
        <v>74</v>
      </c>
      <c r="AB84" t="s">
        <v>74</v>
      </c>
      <c r="AC84" t="s">
        <v>74</v>
      </c>
      <c r="AD84" t="s">
        <v>74</v>
      </c>
      <c r="AE84" t="s">
        <v>74</v>
      </c>
      <c r="AF84" t="s">
        <v>3427</v>
      </c>
      <c r="AG84">
        <v>20</v>
      </c>
      <c r="AH84">
        <v>0</v>
      </c>
      <c r="AI84">
        <v>0</v>
      </c>
      <c r="AJ84">
        <v>2</v>
      </c>
      <c r="AK84">
        <v>5</v>
      </c>
      <c r="AL84" t="s">
        <v>2021</v>
      </c>
      <c r="AM84" t="s">
        <v>1931</v>
      </c>
      <c r="AN84" t="s">
        <v>2022</v>
      </c>
      <c r="AO84" t="s">
        <v>3428</v>
      </c>
      <c r="AP84" t="s">
        <v>3429</v>
      </c>
      <c r="AQ84" t="s">
        <v>74</v>
      </c>
      <c r="AR84" t="s">
        <v>3430</v>
      </c>
      <c r="AS84" t="s">
        <v>3431</v>
      </c>
      <c r="AT84" t="s">
        <v>1487</v>
      </c>
      <c r="AU84">
        <v>2022</v>
      </c>
      <c r="AV84" t="s">
        <v>74</v>
      </c>
      <c r="AW84">
        <v>25</v>
      </c>
      <c r="AX84" t="s">
        <v>74</v>
      </c>
      <c r="AY84" t="s">
        <v>74</v>
      </c>
      <c r="AZ84" t="s">
        <v>74</v>
      </c>
      <c r="BA84" t="s">
        <v>74</v>
      </c>
      <c r="BB84">
        <v>345</v>
      </c>
      <c r="BC84">
        <v>381</v>
      </c>
      <c r="BD84" t="s">
        <v>74</v>
      </c>
      <c r="BE84" t="s">
        <v>3432</v>
      </c>
      <c r="BF84" t="str">
        <f>HYPERLINK("http://dx.doi.org/10.19053/20275137.n25.2022.14542","http://dx.doi.org/10.19053/20275137.n25.2022.14542")</f>
        <v>http://dx.doi.org/10.19053/20275137.n25.2022.14542</v>
      </c>
      <c r="BG84" t="s">
        <v>74</v>
      </c>
      <c r="BH84" t="s">
        <v>74</v>
      </c>
      <c r="BI84">
        <v>37</v>
      </c>
      <c r="BJ84" t="s">
        <v>2109</v>
      </c>
      <c r="BK84" t="s">
        <v>187</v>
      </c>
      <c r="BL84" t="s">
        <v>2109</v>
      </c>
      <c r="BM84" t="s">
        <v>3433</v>
      </c>
      <c r="BN84" t="s">
        <v>74</v>
      </c>
      <c r="BO84" t="s">
        <v>419</v>
      </c>
      <c r="BP84" t="s">
        <v>74</v>
      </c>
      <c r="BQ84" t="s">
        <v>74</v>
      </c>
      <c r="BR84" t="s">
        <v>105</v>
      </c>
      <c r="BS84" t="s">
        <v>3434</v>
      </c>
      <c r="BT84" t="str">
        <f>HYPERLINK("https%3A%2F%2Fwww.webofscience.com%2Fwos%2Fwoscc%2Ffull-record%2FWOS:000864735500010","View Full Record in Web of Science")</f>
        <v>View Full Record in Web of Science</v>
      </c>
    </row>
    <row r="85" spans="1:72" x14ac:dyDescent="0.2">
      <c r="A85" t="s">
        <v>72</v>
      </c>
      <c r="B85" t="s">
        <v>1167</v>
      </c>
      <c r="C85" t="s">
        <v>74</v>
      </c>
      <c r="D85" t="s">
        <v>74</v>
      </c>
      <c r="E85" t="s">
        <v>74</v>
      </c>
      <c r="F85" t="s">
        <v>1168</v>
      </c>
      <c r="G85" t="s">
        <v>74</v>
      </c>
      <c r="H85" t="s">
        <v>74</v>
      </c>
      <c r="I85" t="s">
        <v>1169</v>
      </c>
      <c r="J85" t="s">
        <v>1170</v>
      </c>
      <c r="K85" t="s">
        <v>74</v>
      </c>
      <c r="L85" t="s">
        <v>74</v>
      </c>
      <c r="M85" t="s">
        <v>78</v>
      </c>
      <c r="N85" t="s">
        <v>79</v>
      </c>
      <c r="O85" t="s">
        <v>74</v>
      </c>
      <c r="P85" t="s">
        <v>74</v>
      </c>
      <c r="Q85" t="s">
        <v>74</v>
      </c>
      <c r="R85" t="s">
        <v>74</v>
      </c>
      <c r="S85" t="s">
        <v>74</v>
      </c>
      <c r="T85" t="s">
        <v>1171</v>
      </c>
      <c r="U85" t="s">
        <v>1172</v>
      </c>
      <c r="V85" t="s">
        <v>1173</v>
      </c>
      <c r="W85" s="1" t="s">
        <v>1174</v>
      </c>
      <c r="X85" t="s">
        <v>1175</v>
      </c>
      <c r="Y85" t="s">
        <v>1176</v>
      </c>
      <c r="Z85" t="s">
        <v>173</v>
      </c>
      <c r="AA85" t="s">
        <v>74</v>
      </c>
      <c r="AB85" t="s">
        <v>174</v>
      </c>
      <c r="AC85" t="s">
        <v>1177</v>
      </c>
      <c r="AD85" t="s">
        <v>1177</v>
      </c>
      <c r="AE85" t="s">
        <v>1178</v>
      </c>
      <c r="AF85" t="s">
        <v>1179</v>
      </c>
      <c r="AG85">
        <v>28</v>
      </c>
      <c r="AH85">
        <v>3</v>
      </c>
      <c r="AI85">
        <v>3</v>
      </c>
      <c r="AJ85">
        <v>2</v>
      </c>
      <c r="AK85">
        <v>10</v>
      </c>
      <c r="AL85" t="s">
        <v>1180</v>
      </c>
      <c r="AM85" t="s">
        <v>1181</v>
      </c>
      <c r="AN85" t="s">
        <v>1182</v>
      </c>
      <c r="AO85" t="s">
        <v>1183</v>
      </c>
      <c r="AP85" t="s">
        <v>74</v>
      </c>
      <c r="AQ85" t="s">
        <v>74</v>
      </c>
      <c r="AR85" t="s">
        <v>1184</v>
      </c>
      <c r="AS85" t="s">
        <v>1185</v>
      </c>
      <c r="AT85" t="s">
        <v>960</v>
      </c>
      <c r="AU85">
        <v>2022</v>
      </c>
      <c r="AV85">
        <v>21</v>
      </c>
      <c r="AW85">
        <v>1</v>
      </c>
      <c r="AX85" t="s">
        <v>74</v>
      </c>
      <c r="AY85" t="s">
        <v>74</v>
      </c>
      <c r="AZ85" t="s">
        <v>74</v>
      </c>
      <c r="BA85" t="s">
        <v>74</v>
      </c>
      <c r="BB85" t="s">
        <v>74</v>
      </c>
      <c r="BC85" t="s">
        <v>74</v>
      </c>
      <c r="BD85" t="s">
        <v>1186</v>
      </c>
      <c r="BE85" t="s">
        <v>1187</v>
      </c>
      <c r="BF85" t="str">
        <f>HYPERLINK("http://dx.doi.org/10.24275/rmiq/Cat2606","http://dx.doi.org/10.24275/rmiq/Cat2606")</f>
        <v>http://dx.doi.org/10.24275/rmiq/Cat2606</v>
      </c>
      <c r="BG85" t="s">
        <v>74</v>
      </c>
      <c r="BH85" t="s">
        <v>74</v>
      </c>
      <c r="BI85">
        <v>10</v>
      </c>
      <c r="BJ85" t="s">
        <v>1188</v>
      </c>
      <c r="BK85" t="s">
        <v>102</v>
      </c>
      <c r="BL85" t="s">
        <v>1189</v>
      </c>
      <c r="BM85" t="s">
        <v>1190</v>
      </c>
      <c r="BN85" t="s">
        <v>74</v>
      </c>
      <c r="BO85" t="s">
        <v>1191</v>
      </c>
      <c r="BP85" t="s">
        <v>74</v>
      </c>
      <c r="BQ85" t="s">
        <v>74</v>
      </c>
      <c r="BR85" t="s">
        <v>105</v>
      </c>
      <c r="BS85" t="s">
        <v>1192</v>
      </c>
      <c r="BT85" t="str">
        <f>HYPERLINK("https%3A%2F%2Fwww.webofscience.com%2Fwos%2Fwoscc%2Ffull-record%2FWOS:000745695100001","View Full Record in Web of Science")</f>
        <v>View Full Record in Web of Science</v>
      </c>
    </row>
    <row r="86" spans="1:72" x14ac:dyDescent="0.2">
      <c r="A86" t="s">
        <v>72</v>
      </c>
      <c r="B86" t="s">
        <v>163</v>
      </c>
      <c r="C86" t="s">
        <v>74</v>
      </c>
      <c r="D86" t="s">
        <v>74</v>
      </c>
      <c r="E86" t="s">
        <v>74</v>
      </c>
      <c r="F86" t="s">
        <v>164</v>
      </c>
      <c r="G86" t="s">
        <v>74</v>
      </c>
      <c r="H86" t="s">
        <v>74</v>
      </c>
      <c r="I86" t="s">
        <v>165</v>
      </c>
      <c r="J86" t="s">
        <v>166</v>
      </c>
      <c r="K86" t="s">
        <v>74</v>
      </c>
      <c r="L86" t="s">
        <v>74</v>
      </c>
      <c r="M86" t="s">
        <v>78</v>
      </c>
      <c r="N86" t="s">
        <v>167</v>
      </c>
      <c r="O86" t="s">
        <v>74</v>
      </c>
      <c r="P86" t="s">
        <v>74</v>
      </c>
      <c r="Q86" t="s">
        <v>74</v>
      </c>
      <c r="R86" t="s">
        <v>74</v>
      </c>
      <c r="S86" t="s">
        <v>74</v>
      </c>
      <c r="T86" t="s">
        <v>168</v>
      </c>
      <c r="U86" t="s">
        <v>169</v>
      </c>
      <c r="V86" t="s">
        <v>170</v>
      </c>
      <c r="W86" s="1" t="s">
        <v>171</v>
      </c>
      <c r="X86" t="s">
        <v>84</v>
      </c>
      <c r="Y86" t="s">
        <v>172</v>
      </c>
      <c r="Z86" t="s">
        <v>173</v>
      </c>
      <c r="AA86" t="s">
        <v>74</v>
      </c>
      <c r="AB86" t="s">
        <v>174</v>
      </c>
      <c r="AC86" t="s">
        <v>175</v>
      </c>
      <c r="AD86" t="s">
        <v>175</v>
      </c>
      <c r="AE86" t="s">
        <v>176</v>
      </c>
      <c r="AF86" t="s">
        <v>177</v>
      </c>
      <c r="AG86">
        <v>77</v>
      </c>
      <c r="AH86">
        <v>0</v>
      </c>
      <c r="AI86">
        <v>0</v>
      </c>
      <c r="AJ86">
        <v>1</v>
      </c>
      <c r="AK86">
        <v>1</v>
      </c>
      <c r="AL86" t="s">
        <v>178</v>
      </c>
      <c r="AM86" t="s">
        <v>179</v>
      </c>
      <c r="AN86" t="s">
        <v>180</v>
      </c>
      <c r="AO86" t="s">
        <v>181</v>
      </c>
      <c r="AP86" t="s">
        <v>182</v>
      </c>
      <c r="AQ86" t="s">
        <v>74</v>
      </c>
      <c r="AR86" t="s">
        <v>183</v>
      </c>
      <c r="AS86" t="s">
        <v>184</v>
      </c>
      <c r="AT86" t="s">
        <v>74</v>
      </c>
      <c r="AU86">
        <v>2022</v>
      </c>
      <c r="AV86">
        <v>21</v>
      </c>
      <c r="AW86">
        <v>4</v>
      </c>
      <c r="AX86" t="s">
        <v>74</v>
      </c>
      <c r="AY86" t="s">
        <v>74</v>
      </c>
      <c r="AZ86" t="s">
        <v>74</v>
      </c>
      <c r="BA86" t="s">
        <v>74</v>
      </c>
      <c r="BB86">
        <v>298</v>
      </c>
      <c r="BC86">
        <v>308</v>
      </c>
      <c r="BD86" t="s">
        <v>74</v>
      </c>
      <c r="BE86" t="s">
        <v>185</v>
      </c>
      <c r="BF86" t="str">
        <f>HYPERLINK("http://dx.doi.org/10.46873/2300-3960.1364","http://dx.doi.org/10.46873/2300-3960.1364")</f>
        <v>http://dx.doi.org/10.46873/2300-3960.1364</v>
      </c>
      <c r="BG86" t="s">
        <v>74</v>
      </c>
      <c r="BH86" t="s">
        <v>74</v>
      </c>
      <c r="BI86">
        <v>11</v>
      </c>
      <c r="BJ86" t="s">
        <v>186</v>
      </c>
      <c r="BK86" t="s">
        <v>187</v>
      </c>
      <c r="BL86" t="s">
        <v>188</v>
      </c>
      <c r="BM86" t="s">
        <v>189</v>
      </c>
      <c r="BN86" t="s">
        <v>74</v>
      </c>
      <c r="BO86" t="s">
        <v>190</v>
      </c>
      <c r="BP86" t="s">
        <v>74</v>
      </c>
      <c r="BQ86" t="s">
        <v>74</v>
      </c>
      <c r="BR86" t="s">
        <v>105</v>
      </c>
      <c r="BS86" t="s">
        <v>191</v>
      </c>
      <c r="BT86" t="str">
        <f>HYPERLINK("https%3A%2F%2Fwww.webofscience.com%2Fwos%2Fwoscc%2Ffull-record%2FWOS:000899701600004","View Full Record in Web of Science")</f>
        <v>View Full Record in Web of Science</v>
      </c>
    </row>
    <row r="87" spans="1:72" x14ac:dyDescent="0.2">
      <c r="A87" t="s">
        <v>72</v>
      </c>
      <c r="B87" t="s">
        <v>163</v>
      </c>
      <c r="C87" t="s">
        <v>74</v>
      </c>
      <c r="D87" t="s">
        <v>74</v>
      </c>
      <c r="E87" t="s">
        <v>74</v>
      </c>
      <c r="F87" t="s">
        <v>164</v>
      </c>
      <c r="G87" t="s">
        <v>74</v>
      </c>
      <c r="H87" t="s">
        <v>74</v>
      </c>
      <c r="I87" t="s">
        <v>717</v>
      </c>
      <c r="J87" t="s">
        <v>718</v>
      </c>
      <c r="K87" t="s">
        <v>74</v>
      </c>
      <c r="L87" t="s">
        <v>74</v>
      </c>
      <c r="M87" t="s">
        <v>78</v>
      </c>
      <c r="N87" t="s">
        <v>79</v>
      </c>
      <c r="O87" t="s">
        <v>74</v>
      </c>
      <c r="P87" t="s">
        <v>74</v>
      </c>
      <c r="Q87" t="s">
        <v>74</v>
      </c>
      <c r="R87" t="s">
        <v>74</v>
      </c>
      <c r="S87" t="s">
        <v>74</v>
      </c>
      <c r="T87" t="s">
        <v>719</v>
      </c>
      <c r="U87" t="s">
        <v>720</v>
      </c>
      <c r="V87" t="s">
        <v>721</v>
      </c>
      <c r="W87" s="1" t="s">
        <v>722</v>
      </c>
      <c r="X87" t="s">
        <v>84</v>
      </c>
      <c r="Y87" t="s">
        <v>723</v>
      </c>
      <c r="Z87" t="s">
        <v>173</v>
      </c>
      <c r="AA87" t="s">
        <v>74</v>
      </c>
      <c r="AB87" t="s">
        <v>590</v>
      </c>
      <c r="AC87" t="s">
        <v>724</v>
      </c>
      <c r="AD87" t="s">
        <v>724</v>
      </c>
      <c r="AE87" t="s">
        <v>725</v>
      </c>
      <c r="AF87" t="s">
        <v>726</v>
      </c>
      <c r="AG87">
        <v>49</v>
      </c>
      <c r="AH87">
        <v>1</v>
      </c>
      <c r="AI87">
        <v>1</v>
      </c>
      <c r="AJ87">
        <v>4</v>
      </c>
      <c r="AK87">
        <v>14</v>
      </c>
      <c r="AL87" t="s">
        <v>727</v>
      </c>
      <c r="AM87" t="s">
        <v>728</v>
      </c>
      <c r="AN87" t="s">
        <v>729</v>
      </c>
      <c r="AO87" t="s">
        <v>730</v>
      </c>
      <c r="AP87" t="s">
        <v>731</v>
      </c>
      <c r="AQ87" t="s">
        <v>74</v>
      </c>
      <c r="AR87" t="s">
        <v>732</v>
      </c>
      <c r="AS87" t="s">
        <v>733</v>
      </c>
      <c r="AT87" t="s">
        <v>734</v>
      </c>
      <c r="AU87">
        <v>2022</v>
      </c>
      <c r="AV87">
        <v>61</v>
      </c>
      <c r="AW87">
        <v>4</v>
      </c>
      <c r="AX87" t="s">
        <v>74</v>
      </c>
      <c r="AY87" t="s">
        <v>74</v>
      </c>
      <c r="AZ87" t="s">
        <v>74</v>
      </c>
      <c r="BA87" t="s">
        <v>74</v>
      </c>
      <c r="BB87">
        <v>464</v>
      </c>
      <c r="BC87">
        <v>474</v>
      </c>
      <c r="BD87" t="s">
        <v>74</v>
      </c>
      <c r="BE87" t="s">
        <v>735</v>
      </c>
      <c r="BF87" t="str">
        <f>HYPERLINK("http://dx.doi.org/10.1080/00084433.2022.2046902","http://dx.doi.org/10.1080/00084433.2022.2046902")</f>
        <v>http://dx.doi.org/10.1080/00084433.2022.2046902</v>
      </c>
      <c r="BG87" t="s">
        <v>74</v>
      </c>
      <c r="BH87" t="s">
        <v>244</v>
      </c>
      <c r="BI87">
        <v>11</v>
      </c>
      <c r="BJ87" t="s">
        <v>736</v>
      </c>
      <c r="BK87" t="s">
        <v>102</v>
      </c>
      <c r="BL87" t="s">
        <v>736</v>
      </c>
      <c r="BM87" t="s">
        <v>737</v>
      </c>
      <c r="BN87" t="s">
        <v>74</v>
      </c>
      <c r="BO87" t="s">
        <v>74</v>
      </c>
      <c r="BP87" t="s">
        <v>74</v>
      </c>
      <c r="BQ87" t="s">
        <v>74</v>
      </c>
      <c r="BR87" t="s">
        <v>105</v>
      </c>
      <c r="BS87" t="s">
        <v>738</v>
      </c>
      <c r="BT87" t="str">
        <f>HYPERLINK("https%3A%2F%2Fwww.webofscience.com%2Fwos%2Fwoscc%2Ffull-record%2FWOS:000766118600001","View Full Record in Web of Science")</f>
        <v>View Full Record in Web of Science</v>
      </c>
    </row>
    <row r="88" spans="1:72" x14ac:dyDescent="0.2">
      <c r="A88" t="s">
        <v>72</v>
      </c>
      <c r="B88" t="s">
        <v>580</v>
      </c>
      <c r="C88" t="s">
        <v>74</v>
      </c>
      <c r="D88" t="s">
        <v>74</v>
      </c>
      <c r="E88" t="s">
        <v>74</v>
      </c>
      <c r="F88" t="s">
        <v>581</v>
      </c>
      <c r="G88" t="s">
        <v>74</v>
      </c>
      <c r="H88" t="s">
        <v>74</v>
      </c>
      <c r="I88" t="s">
        <v>582</v>
      </c>
      <c r="J88" t="s">
        <v>583</v>
      </c>
      <c r="K88" t="s">
        <v>74</v>
      </c>
      <c r="L88" t="s">
        <v>74</v>
      </c>
      <c r="M88" t="s">
        <v>78</v>
      </c>
      <c r="N88" t="s">
        <v>79</v>
      </c>
      <c r="O88" t="s">
        <v>74</v>
      </c>
      <c r="P88" t="s">
        <v>74</v>
      </c>
      <c r="Q88" t="s">
        <v>74</v>
      </c>
      <c r="R88" t="s">
        <v>74</v>
      </c>
      <c r="S88" t="s">
        <v>74</v>
      </c>
      <c r="T88" t="s">
        <v>584</v>
      </c>
      <c r="U88" t="s">
        <v>585</v>
      </c>
      <c r="V88" t="s">
        <v>586</v>
      </c>
      <c r="W88" s="1" t="s">
        <v>587</v>
      </c>
      <c r="X88" t="s">
        <v>284</v>
      </c>
      <c r="Y88" t="s">
        <v>588</v>
      </c>
      <c r="Z88" t="s">
        <v>589</v>
      </c>
      <c r="AA88" t="s">
        <v>74</v>
      </c>
      <c r="AB88" t="s">
        <v>590</v>
      </c>
      <c r="AC88" t="s">
        <v>591</v>
      </c>
      <c r="AD88" t="s">
        <v>591</v>
      </c>
      <c r="AE88" t="s">
        <v>592</v>
      </c>
      <c r="AF88" t="s">
        <v>593</v>
      </c>
      <c r="AG88">
        <v>49</v>
      </c>
      <c r="AH88">
        <v>0</v>
      </c>
      <c r="AI88">
        <v>0</v>
      </c>
      <c r="AJ88">
        <v>0</v>
      </c>
      <c r="AK88">
        <v>0</v>
      </c>
      <c r="AL88" t="s">
        <v>594</v>
      </c>
      <c r="AM88" t="s">
        <v>316</v>
      </c>
      <c r="AN88" t="s">
        <v>595</v>
      </c>
      <c r="AO88" t="s">
        <v>596</v>
      </c>
      <c r="AP88" t="s">
        <v>597</v>
      </c>
      <c r="AQ88" t="s">
        <v>74</v>
      </c>
      <c r="AR88" t="s">
        <v>598</v>
      </c>
      <c r="AS88" t="s">
        <v>599</v>
      </c>
      <c r="AT88" t="s">
        <v>99</v>
      </c>
      <c r="AU88">
        <v>2023</v>
      </c>
      <c r="AV88">
        <v>43</v>
      </c>
      <c r="AW88">
        <v>1</v>
      </c>
      <c r="AX88" t="s">
        <v>74</v>
      </c>
      <c r="AY88" t="s">
        <v>74</v>
      </c>
      <c r="AZ88" t="s">
        <v>74</v>
      </c>
      <c r="BA88" t="s">
        <v>74</v>
      </c>
      <c r="BB88" t="s">
        <v>74</v>
      </c>
      <c r="BC88" t="s">
        <v>74</v>
      </c>
      <c r="BD88" t="s">
        <v>600</v>
      </c>
      <c r="BE88" t="s">
        <v>601</v>
      </c>
      <c r="BF88" t="str">
        <f>HYPERLINK("http://dx.doi.org/10.15446/ing.investig.95364","http://dx.doi.org/10.15446/ing.investig.95364")</f>
        <v>http://dx.doi.org/10.15446/ing.investig.95364</v>
      </c>
      <c r="BG88" t="s">
        <v>74</v>
      </c>
      <c r="BH88" t="s">
        <v>74</v>
      </c>
      <c r="BI88">
        <v>8</v>
      </c>
      <c r="BJ88" t="s">
        <v>323</v>
      </c>
      <c r="BK88" t="s">
        <v>102</v>
      </c>
      <c r="BL88" t="s">
        <v>324</v>
      </c>
      <c r="BM88" t="s">
        <v>602</v>
      </c>
      <c r="BN88" t="s">
        <v>74</v>
      </c>
      <c r="BO88" t="s">
        <v>419</v>
      </c>
      <c r="BP88" t="s">
        <v>74</v>
      </c>
      <c r="BQ88" t="s">
        <v>74</v>
      </c>
      <c r="BR88" t="s">
        <v>105</v>
      </c>
      <c r="BS88" t="s">
        <v>603</v>
      </c>
      <c r="BT88" t="str">
        <f>HYPERLINK("https%3A%2F%2Fwww.webofscience.com%2Fwos%2Fwoscc%2Ffull-record%2FWOS:000935781700011","View Full Record in Web of Science")</f>
        <v>View Full Record in Web of Science</v>
      </c>
    </row>
    <row r="89" spans="1:72" x14ac:dyDescent="0.2">
      <c r="A89" t="s">
        <v>72</v>
      </c>
      <c r="B89" t="s">
        <v>2687</v>
      </c>
      <c r="C89" t="s">
        <v>74</v>
      </c>
      <c r="D89" t="s">
        <v>74</v>
      </c>
      <c r="E89" t="s">
        <v>74</v>
      </c>
      <c r="F89" t="s">
        <v>2688</v>
      </c>
      <c r="G89" t="s">
        <v>74</v>
      </c>
      <c r="H89" t="s">
        <v>74</v>
      </c>
      <c r="I89" t="s">
        <v>2689</v>
      </c>
      <c r="J89" t="s">
        <v>2690</v>
      </c>
      <c r="K89" t="s">
        <v>74</v>
      </c>
      <c r="L89" t="s">
        <v>74</v>
      </c>
      <c r="M89" t="s">
        <v>1517</v>
      </c>
      <c r="N89" t="s">
        <v>79</v>
      </c>
      <c r="O89" t="s">
        <v>74</v>
      </c>
      <c r="P89" t="s">
        <v>74</v>
      </c>
      <c r="Q89" t="s">
        <v>74</v>
      </c>
      <c r="R89" t="s">
        <v>74</v>
      </c>
      <c r="S89" t="s">
        <v>74</v>
      </c>
      <c r="T89" t="s">
        <v>2691</v>
      </c>
      <c r="U89" t="s">
        <v>74</v>
      </c>
      <c r="V89" t="s">
        <v>2692</v>
      </c>
      <c r="W89" s="1" t="s">
        <v>2693</v>
      </c>
      <c r="X89" t="s">
        <v>84</v>
      </c>
      <c r="Y89" t="s">
        <v>2694</v>
      </c>
      <c r="Z89" t="s">
        <v>2695</v>
      </c>
      <c r="AA89" t="s">
        <v>74</v>
      </c>
      <c r="AB89" t="s">
        <v>74</v>
      </c>
      <c r="AC89" t="s">
        <v>74</v>
      </c>
      <c r="AD89" t="s">
        <v>74</v>
      </c>
      <c r="AE89" t="s">
        <v>74</v>
      </c>
      <c r="AF89" t="s">
        <v>2696</v>
      </c>
      <c r="AG89">
        <v>20</v>
      </c>
      <c r="AH89">
        <v>0</v>
      </c>
      <c r="AI89">
        <v>0</v>
      </c>
      <c r="AJ89">
        <v>0</v>
      </c>
      <c r="AK89">
        <v>0</v>
      </c>
      <c r="AL89" t="s">
        <v>2697</v>
      </c>
      <c r="AM89" t="s">
        <v>316</v>
      </c>
      <c r="AN89" t="s">
        <v>2698</v>
      </c>
      <c r="AO89" t="s">
        <v>2699</v>
      </c>
      <c r="AP89" t="s">
        <v>2700</v>
      </c>
      <c r="AQ89" t="s">
        <v>74</v>
      </c>
      <c r="AR89" t="s">
        <v>2701</v>
      </c>
      <c r="AS89" t="s">
        <v>2702</v>
      </c>
      <c r="AT89" t="s">
        <v>1487</v>
      </c>
      <c r="AU89">
        <v>2022</v>
      </c>
      <c r="AV89">
        <v>17</v>
      </c>
      <c r="AW89">
        <v>32</v>
      </c>
      <c r="AX89" t="s">
        <v>74</v>
      </c>
      <c r="AY89" t="s">
        <v>74</v>
      </c>
      <c r="AZ89" t="s">
        <v>74</v>
      </c>
      <c r="BA89" t="s">
        <v>74</v>
      </c>
      <c r="BB89">
        <v>352</v>
      </c>
      <c r="BC89">
        <v>367</v>
      </c>
      <c r="BD89" t="s">
        <v>74</v>
      </c>
      <c r="BE89" t="s">
        <v>2703</v>
      </c>
      <c r="BF89" t="str">
        <f>HYPERLINK("http://dx.doi.org/10.14483/21450706.19627","http://dx.doi.org/10.14483/21450706.19627")</f>
        <v>http://dx.doi.org/10.14483/21450706.19627</v>
      </c>
      <c r="BG89" t="s">
        <v>74</v>
      </c>
      <c r="BH89" t="s">
        <v>74</v>
      </c>
      <c r="BI89">
        <v>16</v>
      </c>
      <c r="BJ89" t="s">
        <v>2704</v>
      </c>
      <c r="BK89" t="s">
        <v>187</v>
      </c>
      <c r="BL89" t="s">
        <v>2704</v>
      </c>
      <c r="BM89" t="s">
        <v>2705</v>
      </c>
      <c r="BN89" t="s">
        <v>74</v>
      </c>
      <c r="BO89" t="s">
        <v>419</v>
      </c>
      <c r="BP89" t="s">
        <v>74</v>
      </c>
      <c r="BQ89" t="s">
        <v>74</v>
      </c>
      <c r="BR89" t="s">
        <v>105</v>
      </c>
      <c r="BS89" t="s">
        <v>2706</v>
      </c>
      <c r="BT89" t="str">
        <f>HYPERLINK("https%3A%2F%2Fwww.webofscience.com%2Fwos%2Fwoscc%2Ffull-record%2FWOS:000830540200009","View Full Record in Web of Science")</f>
        <v>View Full Record in Web of Science</v>
      </c>
    </row>
    <row r="90" spans="1:72" x14ac:dyDescent="0.2">
      <c r="A90" t="s">
        <v>72</v>
      </c>
      <c r="B90" t="s">
        <v>5090</v>
      </c>
      <c r="C90" t="s">
        <v>74</v>
      </c>
      <c r="D90" t="s">
        <v>74</v>
      </c>
      <c r="E90" t="s">
        <v>74</v>
      </c>
      <c r="F90" t="s">
        <v>5091</v>
      </c>
      <c r="G90" t="s">
        <v>74</v>
      </c>
      <c r="H90" t="s">
        <v>74</v>
      </c>
      <c r="I90" t="s">
        <v>5092</v>
      </c>
      <c r="J90" t="s">
        <v>4544</v>
      </c>
      <c r="K90" t="s">
        <v>74</v>
      </c>
      <c r="L90" t="s">
        <v>74</v>
      </c>
      <c r="M90" t="s">
        <v>1517</v>
      </c>
      <c r="N90" t="s">
        <v>79</v>
      </c>
      <c r="O90" t="s">
        <v>74</v>
      </c>
      <c r="P90" t="s">
        <v>74</v>
      </c>
      <c r="Q90" t="s">
        <v>74</v>
      </c>
      <c r="R90" t="s">
        <v>74</v>
      </c>
      <c r="S90" t="s">
        <v>74</v>
      </c>
      <c r="T90" t="s">
        <v>5093</v>
      </c>
      <c r="U90" t="s">
        <v>74</v>
      </c>
      <c r="V90" t="s">
        <v>5094</v>
      </c>
      <c r="W90" s="1" t="s">
        <v>5095</v>
      </c>
      <c r="X90" t="s">
        <v>5096</v>
      </c>
      <c r="Y90" t="s">
        <v>5097</v>
      </c>
      <c r="Z90" t="s">
        <v>5098</v>
      </c>
      <c r="AA90" t="s">
        <v>74</v>
      </c>
      <c r="AB90" t="s">
        <v>74</v>
      </c>
      <c r="AC90" t="s">
        <v>74</v>
      </c>
      <c r="AD90" t="s">
        <v>74</v>
      </c>
      <c r="AE90" t="s">
        <v>74</v>
      </c>
      <c r="AF90" t="s">
        <v>5099</v>
      </c>
      <c r="AG90">
        <v>25</v>
      </c>
      <c r="AH90">
        <v>0</v>
      </c>
      <c r="AI90">
        <v>0</v>
      </c>
      <c r="AJ90">
        <v>0</v>
      </c>
      <c r="AK90">
        <v>0</v>
      </c>
      <c r="AL90" t="s">
        <v>4544</v>
      </c>
      <c r="AM90" t="s">
        <v>4551</v>
      </c>
      <c r="AN90" t="s">
        <v>4552</v>
      </c>
      <c r="AO90" t="s">
        <v>4553</v>
      </c>
      <c r="AP90" t="s">
        <v>74</v>
      </c>
      <c r="AQ90" t="s">
        <v>74</v>
      </c>
      <c r="AR90" t="s">
        <v>4544</v>
      </c>
      <c r="AS90" t="s">
        <v>4554</v>
      </c>
      <c r="AT90" t="s">
        <v>295</v>
      </c>
      <c r="AU90">
        <v>2022</v>
      </c>
      <c r="AV90">
        <v>47</v>
      </c>
      <c r="AW90">
        <v>11</v>
      </c>
      <c r="AX90" t="s">
        <v>74</v>
      </c>
      <c r="AY90" t="s">
        <v>74</v>
      </c>
      <c r="AZ90" t="s">
        <v>74</v>
      </c>
      <c r="BA90" t="s">
        <v>74</v>
      </c>
      <c r="BB90">
        <v>506</v>
      </c>
      <c r="BC90">
        <v>512</v>
      </c>
      <c r="BD90" t="s">
        <v>74</v>
      </c>
      <c r="BE90" t="s">
        <v>74</v>
      </c>
      <c r="BF90" t="s">
        <v>74</v>
      </c>
      <c r="BG90" t="s">
        <v>74</v>
      </c>
      <c r="BH90" t="s">
        <v>74</v>
      </c>
      <c r="BI90">
        <v>7</v>
      </c>
      <c r="BJ90" t="s">
        <v>2090</v>
      </c>
      <c r="BK90" t="s">
        <v>102</v>
      </c>
      <c r="BL90" t="s">
        <v>1033</v>
      </c>
      <c r="BM90" t="s">
        <v>5100</v>
      </c>
      <c r="BN90" t="s">
        <v>74</v>
      </c>
      <c r="BO90" t="s">
        <v>74</v>
      </c>
      <c r="BP90" t="s">
        <v>74</v>
      </c>
      <c r="BQ90" t="s">
        <v>74</v>
      </c>
      <c r="BR90" t="s">
        <v>105</v>
      </c>
      <c r="BS90" t="s">
        <v>5101</v>
      </c>
      <c r="BT90" t="str">
        <f>HYPERLINK("https%3A%2F%2Fwww.webofscience.com%2Fwos%2Fwoscc%2Ffull-record%2FWOS:000921370800004","View Full Record in Web of Science")</f>
        <v>View Full Record in Web of Science</v>
      </c>
    </row>
    <row r="91" spans="1:72" x14ac:dyDescent="0.2">
      <c r="A91" t="s">
        <v>72</v>
      </c>
      <c r="B91" t="s">
        <v>2397</v>
      </c>
      <c r="C91" t="s">
        <v>74</v>
      </c>
      <c r="D91" t="s">
        <v>74</v>
      </c>
      <c r="E91" t="s">
        <v>74</v>
      </c>
      <c r="F91" t="s">
        <v>2398</v>
      </c>
      <c r="G91" t="s">
        <v>74</v>
      </c>
      <c r="H91" t="s">
        <v>74</v>
      </c>
      <c r="I91" t="s">
        <v>2399</v>
      </c>
      <c r="J91" t="s">
        <v>2400</v>
      </c>
      <c r="K91" t="s">
        <v>74</v>
      </c>
      <c r="L91" t="s">
        <v>74</v>
      </c>
      <c r="M91" t="s">
        <v>78</v>
      </c>
      <c r="N91" t="s">
        <v>79</v>
      </c>
      <c r="O91" t="s">
        <v>74</v>
      </c>
      <c r="P91" t="s">
        <v>74</v>
      </c>
      <c r="Q91" t="s">
        <v>74</v>
      </c>
      <c r="R91" t="s">
        <v>74</v>
      </c>
      <c r="S91" t="s">
        <v>74</v>
      </c>
      <c r="T91" t="s">
        <v>2401</v>
      </c>
      <c r="U91" t="s">
        <v>2402</v>
      </c>
      <c r="V91" t="s">
        <v>2403</v>
      </c>
      <c r="W91" s="1" t="s">
        <v>2404</v>
      </c>
      <c r="X91" t="s">
        <v>84</v>
      </c>
      <c r="Y91" t="s">
        <v>2405</v>
      </c>
      <c r="Z91" t="s">
        <v>2406</v>
      </c>
      <c r="AA91" t="s">
        <v>74</v>
      </c>
      <c r="AB91" t="s">
        <v>74</v>
      </c>
      <c r="AC91" t="s">
        <v>74</v>
      </c>
      <c r="AD91" t="s">
        <v>74</v>
      </c>
      <c r="AE91" t="s">
        <v>74</v>
      </c>
      <c r="AF91" t="s">
        <v>2407</v>
      </c>
      <c r="AG91">
        <v>31</v>
      </c>
      <c r="AH91">
        <v>0</v>
      </c>
      <c r="AI91">
        <v>0</v>
      </c>
      <c r="AJ91">
        <v>0</v>
      </c>
      <c r="AK91">
        <v>0</v>
      </c>
      <c r="AL91" t="s">
        <v>2408</v>
      </c>
      <c r="AM91" t="s">
        <v>316</v>
      </c>
      <c r="AN91" t="s">
        <v>2409</v>
      </c>
      <c r="AO91" t="s">
        <v>2410</v>
      </c>
      <c r="AP91" t="s">
        <v>2411</v>
      </c>
      <c r="AQ91" t="s">
        <v>74</v>
      </c>
      <c r="AR91" t="s">
        <v>2412</v>
      </c>
      <c r="AS91" t="s">
        <v>2413</v>
      </c>
      <c r="AT91" t="s">
        <v>2068</v>
      </c>
      <c r="AU91">
        <v>2022</v>
      </c>
      <c r="AV91">
        <v>14</v>
      </c>
      <c r="AW91">
        <v>3</v>
      </c>
      <c r="AX91" t="s">
        <v>74</v>
      </c>
      <c r="AY91" t="s">
        <v>74</v>
      </c>
      <c r="AZ91" t="s">
        <v>74</v>
      </c>
      <c r="BA91" t="s">
        <v>74</v>
      </c>
      <c r="BB91">
        <v>8</v>
      </c>
      <c r="BC91">
        <v>23</v>
      </c>
      <c r="BD91" t="s">
        <v>74</v>
      </c>
      <c r="BE91" t="s">
        <v>2414</v>
      </c>
      <c r="BF91" t="str">
        <f>HYPERLINK("http://dx.doi.org/10.22335/rlct.v14i3.1650","http://dx.doi.org/10.22335/rlct.v14i3.1650")</f>
        <v>http://dx.doi.org/10.22335/rlct.v14i3.1650</v>
      </c>
      <c r="BG91" t="s">
        <v>74</v>
      </c>
      <c r="BH91" t="s">
        <v>74</v>
      </c>
      <c r="BI91">
        <v>16</v>
      </c>
      <c r="BJ91" t="s">
        <v>2070</v>
      </c>
      <c r="BK91" t="s">
        <v>187</v>
      </c>
      <c r="BL91" t="s">
        <v>1960</v>
      </c>
      <c r="BM91" t="s">
        <v>2415</v>
      </c>
      <c r="BN91" t="s">
        <v>74</v>
      </c>
      <c r="BO91" t="s">
        <v>74</v>
      </c>
      <c r="BP91" t="s">
        <v>74</v>
      </c>
      <c r="BQ91" t="s">
        <v>74</v>
      </c>
      <c r="BR91" t="s">
        <v>105</v>
      </c>
      <c r="BS91" t="s">
        <v>2416</v>
      </c>
      <c r="BT91" t="str">
        <f>HYPERLINK("https%3A%2F%2Fwww.webofscience.com%2Fwos%2Fwoscc%2Ffull-record%2FWOS:000868495500002","View Full Record in Web of Science")</f>
        <v>View Full Record in Web of Science</v>
      </c>
    </row>
    <row r="92" spans="1:72" x14ac:dyDescent="0.2">
      <c r="A92" t="s">
        <v>72</v>
      </c>
      <c r="B92" t="s">
        <v>345</v>
      </c>
      <c r="C92" t="s">
        <v>74</v>
      </c>
      <c r="D92" t="s">
        <v>74</v>
      </c>
      <c r="E92" t="s">
        <v>74</v>
      </c>
      <c r="F92" t="s">
        <v>346</v>
      </c>
      <c r="G92" t="s">
        <v>74</v>
      </c>
      <c r="H92" t="s">
        <v>74</v>
      </c>
      <c r="I92" t="s">
        <v>347</v>
      </c>
      <c r="J92" t="s">
        <v>348</v>
      </c>
      <c r="K92" t="s">
        <v>74</v>
      </c>
      <c r="L92" t="s">
        <v>74</v>
      </c>
      <c r="M92" t="s">
        <v>78</v>
      </c>
      <c r="N92" t="s">
        <v>79</v>
      </c>
      <c r="O92" t="s">
        <v>74</v>
      </c>
      <c r="P92" t="s">
        <v>74</v>
      </c>
      <c r="Q92" t="s">
        <v>74</v>
      </c>
      <c r="R92" t="s">
        <v>74</v>
      </c>
      <c r="S92" t="s">
        <v>74</v>
      </c>
      <c r="T92" t="s">
        <v>349</v>
      </c>
      <c r="U92" t="s">
        <v>350</v>
      </c>
      <c r="V92" t="s">
        <v>351</v>
      </c>
      <c r="W92" s="1" t="s">
        <v>352</v>
      </c>
      <c r="X92" t="s">
        <v>353</v>
      </c>
      <c r="Y92" t="s">
        <v>354</v>
      </c>
      <c r="Z92" t="s">
        <v>355</v>
      </c>
      <c r="AA92" t="s">
        <v>356</v>
      </c>
      <c r="AB92" t="s">
        <v>357</v>
      </c>
      <c r="AC92" t="s">
        <v>358</v>
      </c>
      <c r="AD92" t="s">
        <v>359</v>
      </c>
      <c r="AE92" t="s">
        <v>360</v>
      </c>
      <c r="AF92" t="s">
        <v>361</v>
      </c>
      <c r="AG92">
        <v>31</v>
      </c>
      <c r="AH92">
        <v>2</v>
      </c>
      <c r="AI92">
        <v>2</v>
      </c>
      <c r="AJ92">
        <v>7</v>
      </c>
      <c r="AK92">
        <v>12</v>
      </c>
      <c r="AL92" t="s">
        <v>93</v>
      </c>
      <c r="AM92" t="s">
        <v>94</v>
      </c>
      <c r="AN92" t="s">
        <v>95</v>
      </c>
      <c r="AO92" t="s">
        <v>74</v>
      </c>
      <c r="AP92" t="s">
        <v>362</v>
      </c>
      <c r="AQ92" t="s">
        <v>74</v>
      </c>
      <c r="AR92" t="s">
        <v>363</v>
      </c>
      <c r="AS92" t="s">
        <v>364</v>
      </c>
      <c r="AT92" t="s">
        <v>126</v>
      </c>
      <c r="AU92">
        <v>2022</v>
      </c>
      <c r="AV92">
        <v>22</v>
      </c>
      <c r="AW92">
        <v>12</v>
      </c>
      <c r="AX92" t="s">
        <v>74</v>
      </c>
      <c r="AY92" t="s">
        <v>74</v>
      </c>
      <c r="AZ92" t="s">
        <v>74</v>
      </c>
      <c r="BA92" t="s">
        <v>74</v>
      </c>
      <c r="BB92" t="s">
        <v>74</v>
      </c>
      <c r="BC92" t="s">
        <v>74</v>
      </c>
      <c r="BD92">
        <v>4559</v>
      </c>
      <c r="BE92" t="s">
        <v>365</v>
      </c>
      <c r="BF92" t="str">
        <f>HYPERLINK("http://dx.doi.org/10.3390/s22124559","http://dx.doi.org/10.3390/s22124559")</f>
        <v>http://dx.doi.org/10.3390/s22124559</v>
      </c>
      <c r="BG92" t="s">
        <v>74</v>
      </c>
      <c r="BH92" t="s">
        <v>74</v>
      </c>
      <c r="BI92">
        <v>17</v>
      </c>
      <c r="BJ92" t="s">
        <v>366</v>
      </c>
      <c r="BK92" t="s">
        <v>102</v>
      </c>
      <c r="BL92" t="s">
        <v>367</v>
      </c>
      <c r="BM92" t="s">
        <v>368</v>
      </c>
      <c r="BN92">
        <v>35746340</v>
      </c>
      <c r="BO92" t="s">
        <v>104</v>
      </c>
      <c r="BP92" t="s">
        <v>74</v>
      </c>
      <c r="BQ92" t="s">
        <v>74</v>
      </c>
      <c r="BR92" t="s">
        <v>105</v>
      </c>
      <c r="BS92" t="s">
        <v>369</v>
      </c>
      <c r="BT92" t="str">
        <f>HYPERLINK("https%3A%2F%2Fwww.webofscience.com%2Fwos%2Fwoscc%2Ffull-record%2FWOS:000816255400001","View Full Record in Web of Science")</f>
        <v>View Full Record in Web of Science</v>
      </c>
    </row>
    <row r="93" spans="1:72" x14ac:dyDescent="0.2">
      <c r="A93" t="s">
        <v>72</v>
      </c>
      <c r="B93" t="s">
        <v>833</v>
      </c>
      <c r="C93" t="s">
        <v>74</v>
      </c>
      <c r="D93" t="s">
        <v>74</v>
      </c>
      <c r="E93" t="s">
        <v>74</v>
      </c>
      <c r="F93" t="s">
        <v>834</v>
      </c>
      <c r="G93" t="s">
        <v>74</v>
      </c>
      <c r="H93" t="s">
        <v>74</v>
      </c>
      <c r="I93" t="s">
        <v>835</v>
      </c>
      <c r="J93" t="s">
        <v>836</v>
      </c>
      <c r="K93" t="s">
        <v>74</v>
      </c>
      <c r="L93" t="s">
        <v>74</v>
      </c>
      <c r="M93" t="s">
        <v>78</v>
      </c>
      <c r="N93" t="s">
        <v>79</v>
      </c>
      <c r="O93" t="s">
        <v>74</v>
      </c>
      <c r="P93" t="s">
        <v>74</v>
      </c>
      <c r="Q93" t="s">
        <v>74</v>
      </c>
      <c r="R93" t="s">
        <v>74</v>
      </c>
      <c r="S93" t="s">
        <v>74</v>
      </c>
      <c r="T93" t="s">
        <v>837</v>
      </c>
      <c r="U93" t="s">
        <v>838</v>
      </c>
      <c r="V93" t="s">
        <v>839</v>
      </c>
      <c r="W93" s="1" t="s">
        <v>840</v>
      </c>
      <c r="X93" t="s">
        <v>142</v>
      </c>
      <c r="Y93" t="s">
        <v>841</v>
      </c>
      <c r="Z93" t="s">
        <v>842</v>
      </c>
      <c r="AA93" t="s">
        <v>74</v>
      </c>
      <c r="AB93" t="s">
        <v>74</v>
      </c>
      <c r="AC93" t="s">
        <v>843</v>
      </c>
      <c r="AD93" t="s">
        <v>844</v>
      </c>
      <c r="AE93" t="s">
        <v>845</v>
      </c>
      <c r="AF93" t="s">
        <v>846</v>
      </c>
      <c r="AG93">
        <v>127</v>
      </c>
      <c r="AH93">
        <v>0</v>
      </c>
      <c r="AI93">
        <v>0</v>
      </c>
      <c r="AJ93">
        <v>2</v>
      </c>
      <c r="AK93">
        <v>6</v>
      </c>
      <c r="AL93" t="s">
        <v>836</v>
      </c>
      <c r="AM93" t="s">
        <v>847</v>
      </c>
      <c r="AN93" t="s">
        <v>848</v>
      </c>
      <c r="AO93" t="s">
        <v>849</v>
      </c>
      <c r="AP93" t="s">
        <v>850</v>
      </c>
      <c r="AQ93" t="s">
        <v>74</v>
      </c>
      <c r="AR93" t="s">
        <v>851</v>
      </c>
      <c r="AS93" t="s">
        <v>852</v>
      </c>
      <c r="AT93" t="s">
        <v>853</v>
      </c>
      <c r="AU93">
        <v>2022</v>
      </c>
      <c r="AV93">
        <v>70</v>
      </c>
      <c r="AW93" t="s">
        <v>74</v>
      </c>
      <c r="AX93" t="s">
        <v>74</v>
      </c>
      <c r="AY93" t="s">
        <v>74</v>
      </c>
      <c r="AZ93" t="s">
        <v>74</v>
      </c>
      <c r="BA93" t="s">
        <v>74</v>
      </c>
      <c r="BB93">
        <v>504</v>
      </c>
      <c r="BC93">
        <v>525</v>
      </c>
      <c r="BD93" t="s">
        <v>74</v>
      </c>
      <c r="BE93" t="s">
        <v>854</v>
      </c>
      <c r="BF93" t="str">
        <f>HYPERLINK("http://dx.doi.org/10.15517/rev.biol.trop.2022.49628","http://dx.doi.org/10.15517/rev.biol.trop.2022.49628")</f>
        <v>http://dx.doi.org/10.15517/rev.biol.trop.2022.49628</v>
      </c>
      <c r="BG93" t="s">
        <v>74</v>
      </c>
      <c r="BH93" t="s">
        <v>74</v>
      </c>
      <c r="BI93">
        <v>22</v>
      </c>
      <c r="BJ93" t="s">
        <v>855</v>
      </c>
      <c r="BK93" t="s">
        <v>102</v>
      </c>
      <c r="BL93" t="s">
        <v>856</v>
      </c>
      <c r="BM93" t="s">
        <v>857</v>
      </c>
      <c r="BN93" t="s">
        <v>74</v>
      </c>
      <c r="BO93" t="s">
        <v>74</v>
      </c>
      <c r="BP93" t="s">
        <v>74</v>
      </c>
      <c r="BQ93" t="s">
        <v>74</v>
      </c>
      <c r="BR93" t="s">
        <v>105</v>
      </c>
      <c r="BS93" t="s">
        <v>858</v>
      </c>
      <c r="BT93" t="str">
        <f>HYPERLINK("https%3A%2F%2Fwww.webofscience.com%2Fwos%2Fwoscc%2Ffull-record%2FWOS:000839530900001","View Full Record in Web of Science")</f>
        <v>View Full Record in Web of Science</v>
      </c>
    </row>
    <row r="94" spans="1:72" x14ac:dyDescent="0.2">
      <c r="A94" t="s">
        <v>72</v>
      </c>
      <c r="B94" t="s">
        <v>3591</v>
      </c>
      <c r="C94" t="s">
        <v>74</v>
      </c>
      <c r="D94" t="s">
        <v>74</v>
      </c>
      <c r="E94" t="s">
        <v>74</v>
      </c>
      <c r="F94" t="s">
        <v>3592</v>
      </c>
      <c r="G94" t="s">
        <v>74</v>
      </c>
      <c r="H94" t="s">
        <v>74</v>
      </c>
      <c r="I94" t="s">
        <v>3593</v>
      </c>
      <c r="J94" t="s">
        <v>3594</v>
      </c>
      <c r="K94" t="s">
        <v>74</v>
      </c>
      <c r="L94" t="s">
        <v>74</v>
      </c>
      <c r="M94" t="s">
        <v>78</v>
      </c>
      <c r="N94" t="s">
        <v>79</v>
      </c>
      <c r="O94" t="s">
        <v>74</v>
      </c>
      <c r="P94" t="s">
        <v>74</v>
      </c>
      <c r="Q94" t="s">
        <v>74</v>
      </c>
      <c r="R94" t="s">
        <v>74</v>
      </c>
      <c r="S94" t="s">
        <v>74</v>
      </c>
      <c r="T94" t="s">
        <v>3595</v>
      </c>
      <c r="U94" t="s">
        <v>3596</v>
      </c>
      <c r="V94" t="s">
        <v>3597</v>
      </c>
      <c r="W94" s="1" t="s">
        <v>3598</v>
      </c>
      <c r="X94" t="s">
        <v>1824</v>
      </c>
      <c r="Y94" t="s">
        <v>3599</v>
      </c>
      <c r="Z94" t="s">
        <v>3600</v>
      </c>
      <c r="AA94" t="s">
        <v>74</v>
      </c>
      <c r="AB94" t="s">
        <v>74</v>
      </c>
      <c r="AC94" t="s">
        <v>3601</v>
      </c>
      <c r="AD94" t="s">
        <v>3602</v>
      </c>
      <c r="AE94" t="s">
        <v>3603</v>
      </c>
      <c r="AF94" t="s">
        <v>3604</v>
      </c>
      <c r="AG94">
        <v>25</v>
      </c>
      <c r="AH94">
        <v>0</v>
      </c>
      <c r="AI94">
        <v>0</v>
      </c>
      <c r="AJ94">
        <v>0</v>
      </c>
      <c r="AK94">
        <v>0</v>
      </c>
      <c r="AL94" t="s">
        <v>3605</v>
      </c>
      <c r="AM94" t="s">
        <v>3606</v>
      </c>
      <c r="AN94" t="s">
        <v>3607</v>
      </c>
      <c r="AO94" t="s">
        <v>74</v>
      </c>
      <c r="AP94" t="s">
        <v>3608</v>
      </c>
      <c r="AQ94" t="s">
        <v>74</v>
      </c>
      <c r="AR94" t="s">
        <v>3609</v>
      </c>
      <c r="AS94" t="s">
        <v>3610</v>
      </c>
      <c r="AT94" t="s">
        <v>74</v>
      </c>
      <c r="AU94">
        <v>2022</v>
      </c>
      <c r="AV94">
        <v>30</v>
      </c>
      <c r="AW94">
        <v>9</v>
      </c>
      <c r="AX94" t="s">
        <v>74</v>
      </c>
      <c r="AY94" t="s">
        <v>74</v>
      </c>
      <c r="AZ94" t="s">
        <v>74</v>
      </c>
      <c r="BA94" t="s">
        <v>74</v>
      </c>
      <c r="BB94">
        <v>3435</v>
      </c>
      <c r="BC94">
        <v>3451</v>
      </c>
      <c r="BD94" t="s">
        <v>74</v>
      </c>
      <c r="BE94" t="s">
        <v>3611</v>
      </c>
      <c r="BF94" t="str">
        <f>HYPERLINK("http://dx.doi.org/10.3934/era.2022175","http://dx.doi.org/10.3934/era.2022175")</f>
        <v>http://dx.doi.org/10.3934/era.2022175</v>
      </c>
      <c r="BG94" t="s">
        <v>74</v>
      </c>
      <c r="BH94" t="s">
        <v>74</v>
      </c>
      <c r="BI94">
        <v>17</v>
      </c>
      <c r="BJ94" t="s">
        <v>576</v>
      </c>
      <c r="BK94" t="s">
        <v>102</v>
      </c>
      <c r="BL94" t="s">
        <v>576</v>
      </c>
      <c r="BM94" t="s">
        <v>3612</v>
      </c>
      <c r="BN94" t="s">
        <v>74</v>
      </c>
      <c r="BO94" t="s">
        <v>190</v>
      </c>
      <c r="BP94" t="s">
        <v>74</v>
      </c>
      <c r="BQ94" t="s">
        <v>74</v>
      </c>
      <c r="BR94" t="s">
        <v>105</v>
      </c>
      <c r="BS94" t="s">
        <v>3613</v>
      </c>
      <c r="BT94" t="str">
        <f>HYPERLINK("https%3A%2F%2Fwww.webofscience.com%2Fwos%2Fwoscc%2Ffull-record%2FWOS:000832225700001","View Full Record in Web of Science")</f>
        <v>View Full Record in Web of Science</v>
      </c>
    </row>
    <row r="95" spans="1:72" x14ac:dyDescent="0.2">
      <c r="A95" t="s">
        <v>72</v>
      </c>
      <c r="B95" t="s">
        <v>5051</v>
      </c>
      <c r="C95" t="s">
        <v>74</v>
      </c>
      <c r="D95" t="s">
        <v>74</v>
      </c>
      <c r="E95" t="s">
        <v>74</v>
      </c>
      <c r="F95" t="s">
        <v>5052</v>
      </c>
      <c r="G95" t="s">
        <v>74</v>
      </c>
      <c r="H95" t="s">
        <v>74</v>
      </c>
      <c r="I95" t="s">
        <v>5053</v>
      </c>
      <c r="J95" t="s">
        <v>4544</v>
      </c>
      <c r="K95" t="s">
        <v>74</v>
      </c>
      <c r="L95" t="s">
        <v>74</v>
      </c>
      <c r="M95" t="s">
        <v>1517</v>
      </c>
      <c r="N95" t="s">
        <v>79</v>
      </c>
      <c r="O95" t="s">
        <v>74</v>
      </c>
      <c r="P95" t="s">
        <v>74</v>
      </c>
      <c r="Q95" t="s">
        <v>74</v>
      </c>
      <c r="R95" t="s">
        <v>74</v>
      </c>
      <c r="S95" t="s">
        <v>74</v>
      </c>
      <c r="T95" t="s">
        <v>74</v>
      </c>
      <c r="U95" t="s">
        <v>5054</v>
      </c>
      <c r="V95" t="s">
        <v>5055</v>
      </c>
      <c r="W95" s="1" t="s">
        <v>5056</v>
      </c>
      <c r="X95" t="s">
        <v>84</v>
      </c>
      <c r="Y95" t="s">
        <v>5057</v>
      </c>
      <c r="Z95" t="s">
        <v>5058</v>
      </c>
      <c r="AA95" t="s">
        <v>74</v>
      </c>
      <c r="AB95" t="s">
        <v>74</v>
      </c>
      <c r="AC95" t="s">
        <v>74</v>
      </c>
      <c r="AD95" t="s">
        <v>74</v>
      </c>
      <c r="AE95" t="s">
        <v>74</v>
      </c>
      <c r="AF95" t="s">
        <v>5059</v>
      </c>
      <c r="AG95">
        <v>19</v>
      </c>
      <c r="AH95">
        <v>0</v>
      </c>
      <c r="AI95">
        <v>0</v>
      </c>
      <c r="AJ95">
        <v>0</v>
      </c>
      <c r="AK95">
        <v>1</v>
      </c>
      <c r="AL95" t="s">
        <v>4544</v>
      </c>
      <c r="AM95" t="s">
        <v>4551</v>
      </c>
      <c r="AN95" t="s">
        <v>4552</v>
      </c>
      <c r="AO95" t="s">
        <v>4553</v>
      </c>
      <c r="AP95" t="s">
        <v>74</v>
      </c>
      <c r="AQ95" t="s">
        <v>74</v>
      </c>
      <c r="AR95" t="s">
        <v>4544</v>
      </c>
      <c r="AS95" t="s">
        <v>4554</v>
      </c>
      <c r="AT95" t="s">
        <v>1029</v>
      </c>
      <c r="AU95">
        <v>2022</v>
      </c>
      <c r="AV95">
        <v>47</v>
      </c>
      <c r="AW95" t="s">
        <v>5060</v>
      </c>
      <c r="AX95" t="s">
        <v>74</v>
      </c>
      <c r="AY95" t="s">
        <v>74</v>
      </c>
      <c r="AZ95" t="s">
        <v>74</v>
      </c>
      <c r="BA95" t="s">
        <v>74</v>
      </c>
      <c r="BB95">
        <v>8</v>
      </c>
      <c r="BC95">
        <v>15</v>
      </c>
      <c r="BD95" t="s">
        <v>74</v>
      </c>
      <c r="BE95" t="s">
        <v>74</v>
      </c>
      <c r="BF95" t="s">
        <v>74</v>
      </c>
      <c r="BG95" t="s">
        <v>74</v>
      </c>
      <c r="BH95" t="s">
        <v>74</v>
      </c>
      <c r="BI95">
        <v>8</v>
      </c>
      <c r="BJ95" t="s">
        <v>2090</v>
      </c>
      <c r="BK95" t="s">
        <v>102</v>
      </c>
      <c r="BL95" t="s">
        <v>1033</v>
      </c>
      <c r="BM95" t="s">
        <v>5061</v>
      </c>
      <c r="BN95" t="s">
        <v>74</v>
      </c>
      <c r="BO95" t="s">
        <v>74</v>
      </c>
      <c r="BP95" t="s">
        <v>74</v>
      </c>
      <c r="BQ95" t="s">
        <v>74</v>
      </c>
      <c r="BR95" t="s">
        <v>105</v>
      </c>
      <c r="BS95" t="s">
        <v>5062</v>
      </c>
      <c r="BT95" t="str">
        <f>HYPERLINK("https%3A%2F%2Fwww.webofscience.com%2Fwos%2Fwoscc%2Ffull-record%2FWOS:000766082200002","View Full Record in Web of Science")</f>
        <v>View Full Record in Web of Science</v>
      </c>
    </row>
    <row r="96" spans="1:72" x14ac:dyDescent="0.2">
      <c r="A96" t="s">
        <v>72</v>
      </c>
      <c r="B96" t="s">
        <v>450</v>
      </c>
      <c r="C96" t="s">
        <v>74</v>
      </c>
      <c r="D96" t="s">
        <v>74</v>
      </c>
      <c r="E96" t="s">
        <v>74</v>
      </c>
      <c r="F96" t="s">
        <v>327</v>
      </c>
      <c r="G96" t="s">
        <v>74</v>
      </c>
      <c r="H96" t="s">
        <v>74</v>
      </c>
      <c r="I96" t="s">
        <v>451</v>
      </c>
      <c r="J96" t="s">
        <v>329</v>
      </c>
      <c r="K96" t="s">
        <v>74</v>
      </c>
      <c r="L96" t="s">
        <v>74</v>
      </c>
      <c r="M96" t="s">
        <v>78</v>
      </c>
      <c r="N96" t="s">
        <v>79</v>
      </c>
      <c r="O96" t="s">
        <v>74</v>
      </c>
      <c r="P96" t="s">
        <v>74</v>
      </c>
      <c r="Q96" t="s">
        <v>74</v>
      </c>
      <c r="R96" t="s">
        <v>74</v>
      </c>
      <c r="S96" t="s">
        <v>74</v>
      </c>
      <c r="T96" t="s">
        <v>452</v>
      </c>
      <c r="U96" t="s">
        <v>453</v>
      </c>
      <c r="V96" t="s">
        <v>454</v>
      </c>
      <c r="W96" s="1" t="s">
        <v>455</v>
      </c>
      <c r="X96" t="s">
        <v>84</v>
      </c>
      <c r="Y96" t="s">
        <v>456</v>
      </c>
      <c r="Z96" t="s">
        <v>457</v>
      </c>
      <c r="AA96" t="s">
        <v>87</v>
      </c>
      <c r="AB96" t="s">
        <v>88</v>
      </c>
      <c r="AC96" t="s">
        <v>335</v>
      </c>
      <c r="AD96" t="s">
        <v>335</v>
      </c>
      <c r="AE96" t="s">
        <v>458</v>
      </c>
      <c r="AF96" t="s">
        <v>459</v>
      </c>
      <c r="AG96">
        <v>38</v>
      </c>
      <c r="AH96">
        <v>1</v>
      </c>
      <c r="AI96">
        <v>1</v>
      </c>
      <c r="AJ96">
        <v>6</v>
      </c>
      <c r="AK96">
        <v>10</v>
      </c>
      <c r="AL96" t="s">
        <v>93</v>
      </c>
      <c r="AM96" t="s">
        <v>94</v>
      </c>
      <c r="AN96" t="s">
        <v>95</v>
      </c>
      <c r="AO96" t="s">
        <v>74</v>
      </c>
      <c r="AP96" t="s">
        <v>338</v>
      </c>
      <c r="AQ96" t="s">
        <v>74</v>
      </c>
      <c r="AR96" t="s">
        <v>329</v>
      </c>
      <c r="AS96" t="s">
        <v>339</v>
      </c>
      <c r="AT96" t="s">
        <v>460</v>
      </c>
      <c r="AU96">
        <v>2022</v>
      </c>
      <c r="AV96">
        <v>11</v>
      </c>
      <c r="AW96">
        <v>15</v>
      </c>
      <c r="AX96" t="s">
        <v>74</v>
      </c>
      <c r="AY96" t="s">
        <v>74</v>
      </c>
      <c r="AZ96" t="s">
        <v>74</v>
      </c>
      <c r="BA96" t="s">
        <v>74</v>
      </c>
      <c r="BB96" t="s">
        <v>74</v>
      </c>
      <c r="BC96" t="s">
        <v>74</v>
      </c>
      <c r="BD96">
        <v>2380</v>
      </c>
      <c r="BE96" t="s">
        <v>461</v>
      </c>
      <c r="BF96" t="str">
        <f>HYPERLINK("http://dx.doi.org/10.3390/foods11152380","http://dx.doi.org/10.3390/foods11152380")</f>
        <v>http://dx.doi.org/10.3390/foods11152380</v>
      </c>
      <c r="BG96" t="s">
        <v>74</v>
      </c>
      <c r="BH96" t="s">
        <v>74</v>
      </c>
      <c r="BI96">
        <v>13</v>
      </c>
      <c r="BJ96" t="s">
        <v>342</v>
      </c>
      <c r="BK96" t="s">
        <v>102</v>
      </c>
      <c r="BL96" t="s">
        <v>342</v>
      </c>
      <c r="BM96" t="s">
        <v>462</v>
      </c>
      <c r="BN96">
        <v>35954146</v>
      </c>
      <c r="BO96" t="s">
        <v>131</v>
      </c>
      <c r="BP96" t="s">
        <v>74</v>
      </c>
      <c r="BQ96" t="s">
        <v>74</v>
      </c>
      <c r="BR96" t="s">
        <v>105</v>
      </c>
      <c r="BS96" t="s">
        <v>463</v>
      </c>
      <c r="BT96" t="str">
        <f>HYPERLINK("https%3A%2F%2Fwww.webofscience.com%2Fwos%2Fwoscc%2Ffull-record%2FWOS:000839768600001","View Full Record in Web of Science")</f>
        <v>View Full Record in Web of Science</v>
      </c>
    </row>
    <row r="97" spans="1:72" x14ac:dyDescent="0.2">
      <c r="A97" t="s">
        <v>72</v>
      </c>
      <c r="B97" t="s">
        <v>464</v>
      </c>
      <c r="C97" t="s">
        <v>74</v>
      </c>
      <c r="D97" t="s">
        <v>74</v>
      </c>
      <c r="E97" t="s">
        <v>74</v>
      </c>
      <c r="F97" t="s">
        <v>465</v>
      </c>
      <c r="G97" t="s">
        <v>74</v>
      </c>
      <c r="H97" t="s">
        <v>74</v>
      </c>
      <c r="I97" t="s">
        <v>466</v>
      </c>
      <c r="J97" t="s">
        <v>77</v>
      </c>
      <c r="K97" t="s">
        <v>74</v>
      </c>
      <c r="L97" t="s">
        <v>74</v>
      </c>
      <c r="M97" t="s">
        <v>78</v>
      </c>
      <c r="N97" t="s">
        <v>79</v>
      </c>
      <c r="O97" t="s">
        <v>74</v>
      </c>
      <c r="P97" t="s">
        <v>74</v>
      </c>
      <c r="Q97" t="s">
        <v>74</v>
      </c>
      <c r="R97" t="s">
        <v>74</v>
      </c>
      <c r="S97" t="s">
        <v>74</v>
      </c>
      <c r="T97" t="s">
        <v>467</v>
      </c>
      <c r="U97" t="s">
        <v>468</v>
      </c>
      <c r="V97" t="s">
        <v>469</v>
      </c>
      <c r="W97" s="1" t="s">
        <v>470</v>
      </c>
      <c r="X97" t="s">
        <v>84</v>
      </c>
      <c r="Y97" t="s">
        <v>471</v>
      </c>
      <c r="Z97" t="s">
        <v>472</v>
      </c>
      <c r="AA97" t="s">
        <v>87</v>
      </c>
      <c r="AB97" t="s">
        <v>473</v>
      </c>
      <c r="AC97" t="s">
        <v>335</v>
      </c>
      <c r="AD97" t="s">
        <v>335</v>
      </c>
      <c r="AE97" t="s">
        <v>474</v>
      </c>
      <c r="AF97" t="s">
        <v>475</v>
      </c>
      <c r="AG97">
        <v>37</v>
      </c>
      <c r="AH97">
        <v>6</v>
      </c>
      <c r="AI97">
        <v>6</v>
      </c>
      <c r="AJ97">
        <v>5</v>
      </c>
      <c r="AK97">
        <v>6</v>
      </c>
      <c r="AL97" t="s">
        <v>93</v>
      </c>
      <c r="AM97" t="s">
        <v>94</v>
      </c>
      <c r="AN97" t="s">
        <v>95</v>
      </c>
      <c r="AO97" t="s">
        <v>74</v>
      </c>
      <c r="AP97" t="s">
        <v>96</v>
      </c>
      <c r="AQ97" t="s">
        <v>74</v>
      </c>
      <c r="AR97" t="s">
        <v>97</v>
      </c>
      <c r="AS97" t="s">
        <v>98</v>
      </c>
      <c r="AT97" t="s">
        <v>476</v>
      </c>
      <c r="AU97">
        <v>2022</v>
      </c>
      <c r="AV97">
        <v>14</v>
      </c>
      <c r="AW97">
        <v>18</v>
      </c>
      <c r="AX97" t="s">
        <v>74</v>
      </c>
      <c r="AY97" t="s">
        <v>74</v>
      </c>
      <c r="AZ97" t="s">
        <v>74</v>
      </c>
      <c r="BA97" t="s">
        <v>74</v>
      </c>
      <c r="BB97" t="s">
        <v>74</v>
      </c>
      <c r="BC97" t="s">
        <v>74</v>
      </c>
      <c r="BD97">
        <v>3832</v>
      </c>
      <c r="BE97" t="s">
        <v>477</v>
      </c>
      <c r="BF97" t="str">
        <f>HYPERLINK("http://dx.doi.org/10.3390/polym14183832","http://dx.doi.org/10.3390/polym14183832")</f>
        <v>http://dx.doi.org/10.3390/polym14183832</v>
      </c>
      <c r="BG97" t="s">
        <v>74</v>
      </c>
      <c r="BH97" t="s">
        <v>74</v>
      </c>
      <c r="BI97">
        <v>13</v>
      </c>
      <c r="BJ97" t="s">
        <v>101</v>
      </c>
      <c r="BK97" t="s">
        <v>102</v>
      </c>
      <c r="BL97" t="s">
        <v>101</v>
      </c>
      <c r="BM97" t="s">
        <v>478</v>
      </c>
      <c r="BN97">
        <v>36145978</v>
      </c>
      <c r="BO97" t="s">
        <v>131</v>
      </c>
      <c r="BP97" t="s">
        <v>74</v>
      </c>
      <c r="BQ97" t="s">
        <v>74</v>
      </c>
      <c r="BR97" t="s">
        <v>105</v>
      </c>
      <c r="BS97" t="s">
        <v>479</v>
      </c>
      <c r="BT97" t="str">
        <f>HYPERLINK("https%3A%2F%2Fwww.webofscience.com%2Fwos%2Fwoscc%2Ffull-record%2FWOS:000857042400001","View Full Record in Web of Science")</f>
        <v>View Full Record in Web of Science</v>
      </c>
    </row>
    <row r="98" spans="1:72" x14ac:dyDescent="0.2">
      <c r="A98" t="s">
        <v>72</v>
      </c>
      <c r="B98" t="s">
        <v>3348</v>
      </c>
      <c r="C98" t="s">
        <v>74</v>
      </c>
      <c r="D98" t="s">
        <v>74</v>
      </c>
      <c r="E98" t="s">
        <v>74</v>
      </c>
      <c r="F98" t="s">
        <v>3349</v>
      </c>
      <c r="G98" t="s">
        <v>74</v>
      </c>
      <c r="H98" t="s">
        <v>74</v>
      </c>
      <c r="I98" t="s">
        <v>3350</v>
      </c>
      <c r="J98" t="s">
        <v>77</v>
      </c>
      <c r="K98" t="s">
        <v>74</v>
      </c>
      <c r="L98" t="s">
        <v>74</v>
      </c>
      <c r="M98" t="s">
        <v>78</v>
      </c>
      <c r="N98" t="s">
        <v>79</v>
      </c>
      <c r="O98" t="s">
        <v>74</v>
      </c>
      <c r="P98" t="s">
        <v>74</v>
      </c>
      <c r="Q98" t="s">
        <v>74</v>
      </c>
      <c r="R98" t="s">
        <v>74</v>
      </c>
      <c r="S98" t="s">
        <v>74</v>
      </c>
      <c r="T98" t="s">
        <v>3351</v>
      </c>
      <c r="U98" t="s">
        <v>3352</v>
      </c>
      <c r="V98" t="s">
        <v>3353</v>
      </c>
      <c r="W98" s="1" t="s">
        <v>3354</v>
      </c>
      <c r="X98" t="s">
        <v>84</v>
      </c>
      <c r="Y98" t="s">
        <v>3355</v>
      </c>
      <c r="Z98" t="s">
        <v>3356</v>
      </c>
      <c r="AA98" t="s">
        <v>87</v>
      </c>
      <c r="AB98" t="s">
        <v>3357</v>
      </c>
      <c r="AC98" t="s">
        <v>3358</v>
      </c>
      <c r="AD98" t="s">
        <v>3358</v>
      </c>
      <c r="AE98" t="s">
        <v>3359</v>
      </c>
      <c r="AF98" t="s">
        <v>3360</v>
      </c>
      <c r="AG98">
        <v>36</v>
      </c>
      <c r="AH98">
        <v>1</v>
      </c>
      <c r="AI98">
        <v>1</v>
      </c>
      <c r="AJ98">
        <v>4</v>
      </c>
      <c r="AK98">
        <v>4</v>
      </c>
      <c r="AL98" t="s">
        <v>93</v>
      </c>
      <c r="AM98" t="s">
        <v>94</v>
      </c>
      <c r="AN98" t="s">
        <v>95</v>
      </c>
      <c r="AO98" t="s">
        <v>74</v>
      </c>
      <c r="AP98" t="s">
        <v>96</v>
      </c>
      <c r="AQ98" t="s">
        <v>74</v>
      </c>
      <c r="AR98" t="s">
        <v>97</v>
      </c>
      <c r="AS98" t="s">
        <v>98</v>
      </c>
      <c r="AT98" t="s">
        <v>99</v>
      </c>
      <c r="AU98">
        <v>2023</v>
      </c>
      <c r="AV98">
        <v>15</v>
      </c>
      <c r="AW98">
        <v>1</v>
      </c>
      <c r="AX98" t="s">
        <v>74</v>
      </c>
      <c r="AY98" t="s">
        <v>74</v>
      </c>
      <c r="AZ98" t="s">
        <v>74</v>
      </c>
      <c r="BA98" t="s">
        <v>74</v>
      </c>
      <c r="BB98" t="s">
        <v>74</v>
      </c>
      <c r="BC98" t="s">
        <v>74</v>
      </c>
      <c r="BD98">
        <v>217</v>
      </c>
      <c r="BE98" t="s">
        <v>3361</v>
      </c>
      <c r="BF98" t="str">
        <f>HYPERLINK("http://dx.doi.org/10.3390/polym15010217","http://dx.doi.org/10.3390/polym15010217")</f>
        <v>http://dx.doi.org/10.3390/polym15010217</v>
      </c>
      <c r="BG98" t="s">
        <v>74</v>
      </c>
      <c r="BH98" t="s">
        <v>74</v>
      </c>
      <c r="BI98">
        <v>12</v>
      </c>
      <c r="BJ98" t="s">
        <v>101</v>
      </c>
      <c r="BK98" t="s">
        <v>102</v>
      </c>
      <c r="BL98" t="s">
        <v>101</v>
      </c>
      <c r="BM98" t="s">
        <v>3362</v>
      </c>
      <c r="BN98">
        <v>36616566</v>
      </c>
      <c r="BO98" t="s">
        <v>131</v>
      </c>
      <c r="BP98" t="s">
        <v>74</v>
      </c>
      <c r="BQ98" t="s">
        <v>74</v>
      </c>
      <c r="BR98" t="s">
        <v>105</v>
      </c>
      <c r="BS98" t="s">
        <v>3363</v>
      </c>
      <c r="BT98" t="str">
        <f>HYPERLINK("https%3A%2F%2Fwww.webofscience.com%2Fwos%2Fwoscc%2Ffull-record%2FWOS:000909944400001","View Full Record in Web of Science")</f>
        <v>View Full Record in Web of Science</v>
      </c>
    </row>
    <row r="99" spans="1:72" x14ac:dyDescent="0.2">
      <c r="A99" t="s">
        <v>72</v>
      </c>
      <c r="B99" t="s">
        <v>73</v>
      </c>
      <c r="C99" t="s">
        <v>74</v>
      </c>
      <c r="D99" t="s">
        <v>74</v>
      </c>
      <c r="E99" t="s">
        <v>74</v>
      </c>
      <c r="F99" t="s">
        <v>327</v>
      </c>
      <c r="G99" t="s">
        <v>74</v>
      </c>
      <c r="H99" t="s">
        <v>74</v>
      </c>
      <c r="I99" t="s">
        <v>328</v>
      </c>
      <c r="J99" t="s">
        <v>329</v>
      </c>
      <c r="K99" t="s">
        <v>74</v>
      </c>
      <c r="L99" t="s">
        <v>74</v>
      </c>
      <c r="M99" t="s">
        <v>78</v>
      </c>
      <c r="N99" t="s">
        <v>79</v>
      </c>
      <c r="O99" t="s">
        <v>74</v>
      </c>
      <c r="P99" t="s">
        <v>74</v>
      </c>
      <c r="Q99" t="s">
        <v>74</v>
      </c>
      <c r="R99" t="s">
        <v>74</v>
      </c>
      <c r="S99" t="s">
        <v>74</v>
      </c>
      <c r="T99" t="s">
        <v>330</v>
      </c>
      <c r="U99" t="s">
        <v>331</v>
      </c>
      <c r="V99" t="s">
        <v>332</v>
      </c>
      <c r="W99" s="1" t="s">
        <v>333</v>
      </c>
      <c r="X99" t="s">
        <v>84</v>
      </c>
      <c r="Y99" t="s">
        <v>334</v>
      </c>
      <c r="Z99" t="s">
        <v>86</v>
      </c>
      <c r="AA99" t="s">
        <v>74</v>
      </c>
      <c r="AB99" t="s">
        <v>74</v>
      </c>
      <c r="AC99" t="s">
        <v>335</v>
      </c>
      <c r="AD99" t="s">
        <v>335</v>
      </c>
      <c r="AE99" t="s">
        <v>336</v>
      </c>
      <c r="AF99" t="s">
        <v>337</v>
      </c>
      <c r="AG99">
        <v>45</v>
      </c>
      <c r="AH99">
        <v>0</v>
      </c>
      <c r="AI99">
        <v>0</v>
      </c>
      <c r="AJ99">
        <v>1</v>
      </c>
      <c r="AK99">
        <v>1</v>
      </c>
      <c r="AL99" t="s">
        <v>93</v>
      </c>
      <c r="AM99" t="s">
        <v>94</v>
      </c>
      <c r="AN99" t="s">
        <v>95</v>
      </c>
      <c r="AO99" t="s">
        <v>74</v>
      </c>
      <c r="AP99" t="s">
        <v>338</v>
      </c>
      <c r="AQ99" t="s">
        <v>74</v>
      </c>
      <c r="AR99" t="s">
        <v>329</v>
      </c>
      <c r="AS99" t="s">
        <v>339</v>
      </c>
      <c r="AT99" t="s">
        <v>340</v>
      </c>
      <c r="AU99">
        <v>2023</v>
      </c>
      <c r="AV99">
        <v>12</v>
      </c>
      <c r="AW99">
        <v>9</v>
      </c>
      <c r="AX99" t="s">
        <v>74</v>
      </c>
      <c r="AY99" t="s">
        <v>74</v>
      </c>
      <c r="AZ99" t="s">
        <v>74</v>
      </c>
      <c r="BA99" t="s">
        <v>74</v>
      </c>
      <c r="BB99" t="s">
        <v>74</v>
      </c>
      <c r="BC99" t="s">
        <v>74</v>
      </c>
      <c r="BD99">
        <v>1811</v>
      </c>
      <c r="BE99" t="s">
        <v>341</v>
      </c>
      <c r="BF99" t="str">
        <f>HYPERLINK("http://dx.doi.org/10.3390/foods12091811","http://dx.doi.org/10.3390/foods12091811")</f>
        <v>http://dx.doi.org/10.3390/foods12091811</v>
      </c>
      <c r="BG99" t="s">
        <v>74</v>
      </c>
      <c r="BH99" t="s">
        <v>74</v>
      </c>
      <c r="BI99">
        <v>15</v>
      </c>
      <c r="BJ99" t="s">
        <v>342</v>
      </c>
      <c r="BK99" t="s">
        <v>102</v>
      </c>
      <c r="BL99" t="s">
        <v>342</v>
      </c>
      <c r="BM99" t="s">
        <v>343</v>
      </c>
      <c r="BN99">
        <v>37174349</v>
      </c>
      <c r="BO99" t="s">
        <v>190</v>
      </c>
      <c r="BP99" t="s">
        <v>74</v>
      </c>
      <c r="BQ99" t="s">
        <v>74</v>
      </c>
      <c r="BR99" t="s">
        <v>105</v>
      </c>
      <c r="BS99" t="s">
        <v>344</v>
      </c>
      <c r="BT99" t="str">
        <f>HYPERLINK("https%3A%2F%2Fwww.webofscience.com%2Fwos%2Fwoscc%2Ffull-record%2FWOS:000987241100001","View Full Record in Web of Science")</f>
        <v>View Full Record in Web of Science</v>
      </c>
    </row>
    <row r="100" spans="1:72" x14ac:dyDescent="0.2">
      <c r="A100" t="s">
        <v>72</v>
      </c>
      <c r="B100" t="s">
        <v>2376</v>
      </c>
      <c r="C100" t="s">
        <v>74</v>
      </c>
      <c r="D100" t="s">
        <v>74</v>
      </c>
      <c r="E100" t="s">
        <v>74</v>
      </c>
      <c r="F100" t="s">
        <v>2377</v>
      </c>
      <c r="G100" t="s">
        <v>74</v>
      </c>
      <c r="H100" t="s">
        <v>74</v>
      </c>
      <c r="I100" t="s">
        <v>2378</v>
      </c>
      <c r="J100" t="s">
        <v>2379</v>
      </c>
      <c r="K100" t="s">
        <v>74</v>
      </c>
      <c r="L100" t="s">
        <v>74</v>
      </c>
      <c r="M100" t="s">
        <v>1517</v>
      </c>
      <c r="N100" t="s">
        <v>79</v>
      </c>
      <c r="O100" t="s">
        <v>74</v>
      </c>
      <c r="P100" t="s">
        <v>74</v>
      </c>
      <c r="Q100" t="s">
        <v>74</v>
      </c>
      <c r="R100" t="s">
        <v>74</v>
      </c>
      <c r="S100" t="s">
        <v>74</v>
      </c>
      <c r="T100" t="s">
        <v>2380</v>
      </c>
      <c r="U100" t="s">
        <v>74</v>
      </c>
      <c r="V100" t="s">
        <v>2381</v>
      </c>
      <c r="W100" s="1" t="s">
        <v>2382</v>
      </c>
      <c r="X100" t="s">
        <v>84</v>
      </c>
      <c r="Y100" t="s">
        <v>2383</v>
      </c>
      <c r="Z100" t="s">
        <v>2384</v>
      </c>
      <c r="AA100" t="s">
        <v>74</v>
      </c>
      <c r="AB100" t="s">
        <v>74</v>
      </c>
      <c r="AC100" t="s">
        <v>74</v>
      </c>
      <c r="AD100" t="s">
        <v>74</v>
      </c>
      <c r="AE100" t="s">
        <v>74</v>
      </c>
      <c r="AF100" t="s">
        <v>2385</v>
      </c>
      <c r="AG100">
        <v>34</v>
      </c>
      <c r="AH100">
        <v>0</v>
      </c>
      <c r="AI100">
        <v>0</v>
      </c>
      <c r="AJ100">
        <v>0</v>
      </c>
      <c r="AK100">
        <v>0</v>
      </c>
      <c r="AL100" t="s">
        <v>2386</v>
      </c>
      <c r="AM100" t="s">
        <v>2387</v>
      </c>
      <c r="AN100" t="s">
        <v>2388</v>
      </c>
      <c r="AO100" t="s">
        <v>2389</v>
      </c>
      <c r="AP100" t="s">
        <v>2390</v>
      </c>
      <c r="AQ100" t="s">
        <v>74</v>
      </c>
      <c r="AR100" t="s">
        <v>2391</v>
      </c>
      <c r="AS100" t="s">
        <v>2392</v>
      </c>
      <c r="AT100" t="s">
        <v>1527</v>
      </c>
      <c r="AU100">
        <v>2023</v>
      </c>
      <c r="AV100">
        <v>25</v>
      </c>
      <c r="AW100">
        <v>1</v>
      </c>
      <c r="AX100" t="s">
        <v>74</v>
      </c>
      <c r="AY100" t="s">
        <v>74</v>
      </c>
      <c r="AZ100" t="s">
        <v>74</v>
      </c>
      <c r="BA100" t="s">
        <v>74</v>
      </c>
      <c r="BB100">
        <v>53</v>
      </c>
      <c r="BC100">
        <v>66</v>
      </c>
      <c r="BD100" t="s">
        <v>74</v>
      </c>
      <c r="BE100" t="s">
        <v>2393</v>
      </c>
      <c r="BF100" t="str">
        <f>HYPERLINK("http://dx.doi.org/10.14718/RevArq.2023.25.4191","http://dx.doi.org/10.14718/RevArq.2023.25.4191")</f>
        <v>http://dx.doi.org/10.14718/RevArq.2023.25.4191</v>
      </c>
      <c r="BG100" t="s">
        <v>74</v>
      </c>
      <c r="BH100" t="s">
        <v>74</v>
      </c>
      <c r="BI100">
        <v>14</v>
      </c>
      <c r="BJ100" t="s">
        <v>2394</v>
      </c>
      <c r="BK100" t="s">
        <v>187</v>
      </c>
      <c r="BL100" t="s">
        <v>2394</v>
      </c>
      <c r="BM100" t="s">
        <v>2395</v>
      </c>
      <c r="BN100" t="s">
        <v>74</v>
      </c>
      <c r="BO100" t="s">
        <v>131</v>
      </c>
      <c r="BP100" t="s">
        <v>74</v>
      </c>
      <c r="BQ100" t="s">
        <v>74</v>
      </c>
      <c r="BR100" t="s">
        <v>105</v>
      </c>
      <c r="BS100" t="s">
        <v>2396</v>
      </c>
      <c r="BT100" t="str">
        <f>HYPERLINK("https%3A%2F%2Fwww.webofscience.com%2Fwos%2Fwoscc%2Ffull-record%2FWOS:000979704300005","View Full Record in Web of Science")</f>
        <v>View Full Record in Web of Science</v>
      </c>
    </row>
    <row r="101" spans="1:72" x14ac:dyDescent="0.2">
      <c r="A101" t="s">
        <v>72</v>
      </c>
      <c r="B101" t="s">
        <v>2721</v>
      </c>
      <c r="C101" t="s">
        <v>74</v>
      </c>
      <c r="D101" t="s">
        <v>74</v>
      </c>
      <c r="E101" t="s">
        <v>74</v>
      </c>
      <c r="F101" t="s">
        <v>2722</v>
      </c>
      <c r="G101" t="s">
        <v>74</v>
      </c>
      <c r="H101" t="s">
        <v>74</v>
      </c>
      <c r="I101" t="s">
        <v>2723</v>
      </c>
      <c r="J101" t="s">
        <v>2724</v>
      </c>
      <c r="K101" t="s">
        <v>74</v>
      </c>
      <c r="L101" t="s">
        <v>74</v>
      </c>
      <c r="M101" t="s">
        <v>1517</v>
      </c>
      <c r="N101" t="s">
        <v>79</v>
      </c>
      <c r="O101" t="s">
        <v>74</v>
      </c>
      <c r="P101" t="s">
        <v>74</v>
      </c>
      <c r="Q101" t="s">
        <v>74</v>
      </c>
      <c r="R101" t="s">
        <v>74</v>
      </c>
      <c r="S101" t="s">
        <v>74</v>
      </c>
      <c r="T101" t="s">
        <v>2725</v>
      </c>
      <c r="U101" t="s">
        <v>2726</v>
      </c>
      <c r="V101" t="s">
        <v>2727</v>
      </c>
      <c r="W101" s="1" t="s">
        <v>2728</v>
      </c>
      <c r="X101" t="s">
        <v>84</v>
      </c>
      <c r="Y101" t="s">
        <v>2729</v>
      </c>
      <c r="Z101" t="s">
        <v>2730</v>
      </c>
      <c r="AA101" t="s">
        <v>74</v>
      </c>
      <c r="AB101" t="s">
        <v>74</v>
      </c>
      <c r="AC101" t="s">
        <v>74</v>
      </c>
      <c r="AD101" t="s">
        <v>74</v>
      </c>
      <c r="AE101" t="s">
        <v>74</v>
      </c>
      <c r="AF101" t="s">
        <v>2731</v>
      </c>
      <c r="AG101">
        <v>39</v>
      </c>
      <c r="AH101">
        <v>0</v>
      </c>
      <c r="AI101">
        <v>0</v>
      </c>
      <c r="AJ101">
        <v>1</v>
      </c>
      <c r="AK101">
        <v>1</v>
      </c>
      <c r="AL101" t="s">
        <v>2732</v>
      </c>
      <c r="AM101" t="s">
        <v>1677</v>
      </c>
      <c r="AN101" t="s">
        <v>2733</v>
      </c>
      <c r="AO101" t="s">
        <v>2734</v>
      </c>
      <c r="AP101" t="s">
        <v>74</v>
      </c>
      <c r="AQ101" t="s">
        <v>74</v>
      </c>
      <c r="AR101" t="s">
        <v>2735</v>
      </c>
      <c r="AS101" t="s">
        <v>2736</v>
      </c>
      <c r="AT101" t="s">
        <v>1683</v>
      </c>
      <c r="AU101">
        <v>2022</v>
      </c>
      <c r="AV101">
        <v>47</v>
      </c>
      <c r="AW101" t="s">
        <v>74</v>
      </c>
      <c r="AX101" t="s">
        <v>74</v>
      </c>
      <c r="AY101" t="s">
        <v>74</v>
      </c>
      <c r="AZ101" t="s">
        <v>74</v>
      </c>
      <c r="BA101" t="s">
        <v>74</v>
      </c>
      <c r="BB101">
        <v>96</v>
      </c>
      <c r="BC101">
        <v>114</v>
      </c>
      <c r="BD101" t="s">
        <v>74</v>
      </c>
      <c r="BE101" t="s">
        <v>2737</v>
      </c>
      <c r="BF101" t="str">
        <f>HYPERLINK("http://dx.doi.org/10.5354/0717-5051.2022.65059","http://dx.doi.org/10.5354/0717-5051.2022.65059")</f>
        <v>http://dx.doi.org/10.5354/0717-5051.2022.65059</v>
      </c>
      <c r="BG101" t="s">
        <v>74</v>
      </c>
      <c r="BH101" t="s">
        <v>74</v>
      </c>
      <c r="BI101">
        <v>19</v>
      </c>
      <c r="BJ101" t="s">
        <v>2738</v>
      </c>
      <c r="BK101" t="s">
        <v>187</v>
      </c>
      <c r="BL101" t="s">
        <v>2738</v>
      </c>
      <c r="BM101" t="s">
        <v>2739</v>
      </c>
      <c r="BN101" t="s">
        <v>74</v>
      </c>
      <c r="BO101" t="s">
        <v>1111</v>
      </c>
      <c r="BP101" t="s">
        <v>74</v>
      </c>
      <c r="BQ101" t="s">
        <v>74</v>
      </c>
      <c r="BR101" t="s">
        <v>105</v>
      </c>
      <c r="BS101" t="s">
        <v>2740</v>
      </c>
      <c r="BT101" t="str">
        <f>HYPERLINK("https%3A%2F%2Fwww.webofscience.com%2Fwos%2Fwoscc%2Ffull-record%2FWOS:000926158600007","View Full Record in Web of Science")</f>
        <v>View Full Record in Web of Science</v>
      </c>
    </row>
    <row r="102" spans="1:72" x14ac:dyDescent="0.2">
      <c r="A102" t="s">
        <v>72</v>
      </c>
      <c r="B102" t="s">
        <v>4601</v>
      </c>
      <c r="C102" t="s">
        <v>74</v>
      </c>
      <c r="D102" t="s">
        <v>74</v>
      </c>
      <c r="E102" t="s">
        <v>74</v>
      </c>
      <c r="F102" t="s">
        <v>4602</v>
      </c>
      <c r="G102" t="s">
        <v>74</v>
      </c>
      <c r="H102" t="s">
        <v>74</v>
      </c>
      <c r="I102" t="s">
        <v>4603</v>
      </c>
      <c r="J102" t="s">
        <v>607</v>
      </c>
      <c r="K102" t="s">
        <v>74</v>
      </c>
      <c r="L102" t="s">
        <v>74</v>
      </c>
      <c r="M102" t="s">
        <v>78</v>
      </c>
      <c r="N102" t="s">
        <v>79</v>
      </c>
      <c r="O102" t="s">
        <v>74</v>
      </c>
      <c r="P102" t="s">
        <v>74</v>
      </c>
      <c r="Q102" t="s">
        <v>74</v>
      </c>
      <c r="R102" t="s">
        <v>74</v>
      </c>
      <c r="S102" t="s">
        <v>74</v>
      </c>
      <c r="T102" t="s">
        <v>4604</v>
      </c>
      <c r="U102" t="s">
        <v>4605</v>
      </c>
      <c r="V102" t="s">
        <v>4606</v>
      </c>
      <c r="W102" s="1" t="s">
        <v>4607</v>
      </c>
      <c r="X102" t="s">
        <v>4608</v>
      </c>
      <c r="Y102" t="s">
        <v>4609</v>
      </c>
      <c r="Z102" t="s">
        <v>4610</v>
      </c>
      <c r="AA102" t="s">
        <v>74</v>
      </c>
      <c r="AB102" t="s">
        <v>4611</v>
      </c>
      <c r="AC102" t="s">
        <v>74</v>
      </c>
      <c r="AD102" t="s">
        <v>74</v>
      </c>
      <c r="AE102" t="s">
        <v>74</v>
      </c>
      <c r="AF102" t="s">
        <v>4612</v>
      </c>
      <c r="AG102">
        <v>71</v>
      </c>
      <c r="AH102">
        <v>0</v>
      </c>
      <c r="AI102">
        <v>0</v>
      </c>
      <c r="AJ102">
        <v>0</v>
      </c>
      <c r="AK102">
        <v>0</v>
      </c>
      <c r="AL102" t="s">
        <v>619</v>
      </c>
      <c r="AM102" t="s">
        <v>620</v>
      </c>
      <c r="AN102" t="s">
        <v>621</v>
      </c>
      <c r="AO102" t="s">
        <v>74</v>
      </c>
      <c r="AP102" t="s">
        <v>622</v>
      </c>
      <c r="AQ102" t="s">
        <v>74</v>
      </c>
      <c r="AR102" t="s">
        <v>607</v>
      </c>
      <c r="AS102" t="s">
        <v>623</v>
      </c>
      <c r="AT102" t="s">
        <v>1029</v>
      </c>
      <c r="AU102">
        <v>2023</v>
      </c>
      <c r="AV102">
        <v>9</v>
      </c>
      <c r="AW102">
        <v>2</v>
      </c>
      <c r="AX102" t="s">
        <v>74</v>
      </c>
      <c r="AY102" t="s">
        <v>74</v>
      </c>
      <c r="AZ102" t="s">
        <v>74</v>
      </c>
      <c r="BA102" t="s">
        <v>74</v>
      </c>
      <c r="BB102" t="s">
        <v>74</v>
      </c>
      <c r="BC102" t="s">
        <v>74</v>
      </c>
      <c r="BD102" t="s">
        <v>4613</v>
      </c>
      <c r="BE102" t="s">
        <v>4614</v>
      </c>
      <c r="BF102" t="str">
        <f>HYPERLINK("http://dx.doi.org/10.1016/j.heliyon.2023.e13062","http://dx.doi.org/10.1016/j.heliyon.2023.e13062")</f>
        <v>http://dx.doi.org/10.1016/j.heliyon.2023.e13062</v>
      </c>
      <c r="BG102" t="s">
        <v>74</v>
      </c>
      <c r="BH102" t="s">
        <v>74</v>
      </c>
      <c r="BI102">
        <v>12</v>
      </c>
      <c r="BJ102" t="s">
        <v>627</v>
      </c>
      <c r="BK102" t="s">
        <v>102</v>
      </c>
      <c r="BL102" t="s">
        <v>628</v>
      </c>
      <c r="BM102" t="s">
        <v>4615</v>
      </c>
      <c r="BN102">
        <v>36785829</v>
      </c>
      <c r="BO102" t="s">
        <v>104</v>
      </c>
      <c r="BP102" t="s">
        <v>74</v>
      </c>
      <c r="BQ102" t="s">
        <v>74</v>
      </c>
      <c r="BR102" t="s">
        <v>105</v>
      </c>
      <c r="BS102" t="s">
        <v>4616</v>
      </c>
      <c r="BT102" t="str">
        <f>HYPERLINK("https%3A%2F%2Fwww.webofscience.com%2Fwos%2Fwoscc%2Ffull-record%2FWOS:000968501700001","View Full Record in Web of Science")</f>
        <v>View Full Record in Web of Science</v>
      </c>
    </row>
    <row r="103" spans="1:72" x14ac:dyDescent="0.2">
      <c r="A103" t="s">
        <v>72</v>
      </c>
      <c r="B103" t="s">
        <v>5244</v>
      </c>
      <c r="C103" t="s">
        <v>74</v>
      </c>
      <c r="D103" t="s">
        <v>74</v>
      </c>
      <c r="E103" t="s">
        <v>74</v>
      </c>
      <c r="F103" t="s">
        <v>5245</v>
      </c>
      <c r="G103" t="s">
        <v>74</v>
      </c>
      <c r="H103" t="s">
        <v>74</v>
      </c>
      <c r="I103" t="s">
        <v>5246</v>
      </c>
      <c r="J103" t="s">
        <v>3753</v>
      </c>
      <c r="K103" t="s">
        <v>74</v>
      </c>
      <c r="L103" t="s">
        <v>74</v>
      </c>
      <c r="M103" t="s">
        <v>78</v>
      </c>
      <c r="N103" t="s">
        <v>79</v>
      </c>
      <c r="O103" t="s">
        <v>74</v>
      </c>
      <c r="P103" t="s">
        <v>74</v>
      </c>
      <c r="Q103" t="s">
        <v>74</v>
      </c>
      <c r="R103" t="s">
        <v>74</v>
      </c>
      <c r="S103" t="s">
        <v>74</v>
      </c>
      <c r="T103" t="s">
        <v>5247</v>
      </c>
      <c r="U103" t="s">
        <v>5248</v>
      </c>
      <c r="V103" t="s">
        <v>5249</v>
      </c>
      <c r="W103" s="1" t="s">
        <v>5250</v>
      </c>
      <c r="X103" t="s">
        <v>5251</v>
      </c>
      <c r="Y103" t="s">
        <v>5252</v>
      </c>
      <c r="Z103" t="s">
        <v>5253</v>
      </c>
      <c r="AA103" t="s">
        <v>74</v>
      </c>
      <c r="AB103" t="s">
        <v>74</v>
      </c>
      <c r="AC103" t="s">
        <v>5254</v>
      </c>
      <c r="AD103" t="s">
        <v>5254</v>
      </c>
      <c r="AE103" t="s">
        <v>5255</v>
      </c>
      <c r="AF103" t="s">
        <v>5256</v>
      </c>
      <c r="AG103">
        <v>47</v>
      </c>
      <c r="AH103">
        <v>0</v>
      </c>
      <c r="AI103">
        <v>0</v>
      </c>
      <c r="AJ103">
        <v>1</v>
      </c>
      <c r="AK103">
        <v>1</v>
      </c>
      <c r="AL103" t="s">
        <v>3767</v>
      </c>
      <c r="AM103" t="s">
        <v>3768</v>
      </c>
      <c r="AN103" t="s">
        <v>3769</v>
      </c>
      <c r="AO103" t="s">
        <v>3770</v>
      </c>
      <c r="AP103" t="s">
        <v>3771</v>
      </c>
      <c r="AQ103" t="s">
        <v>74</v>
      </c>
      <c r="AR103" t="s">
        <v>3753</v>
      </c>
      <c r="AS103" t="s">
        <v>3772</v>
      </c>
      <c r="AT103" t="s">
        <v>5257</v>
      </c>
      <c r="AU103">
        <v>2023</v>
      </c>
      <c r="AV103">
        <v>5264</v>
      </c>
      <c r="AW103">
        <v>3</v>
      </c>
      <c r="AX103" t="s">
        <v>74</v>
      </c>
      <c r="AY103" t="s">
        <v>74</v>
      </c>
      <c r="AZ103" t="s">
        <v>74</v>
      </c>
      <c r="BA103" t="s">
        <v>74</v>
      </c>
      <c r="BB103">
        <v>341</v>
      </c>
      <c r="BC103">
        <v>354</v>
      </c>
      <c r="BD103" t="s">
        <v>74</v>
      </c>
      <c r="BE103" t="s">
        <v>5258</v>
      </c>
      <c r="BF103" t="str">
        <f>HYPERLINK("http://dx.doi.org/10.11646/zootaxa.5264.3.3","http://dx.doi.org/10.11646/zootaxa.5264.3.3")</f>
        <v>http://dx.doi.org/10.11646/zootaxa.5264.3.3</v>
      </c>
      <c r="BG103" t="s">
        <v>74</v>
      </c>
      <c r="BH103" t="s">
        <v>74</v>
      </c>
      <c r="BI103">
        <v>14</v>
      </c>
      <c r="BJ103" t="s">
        <v>1712</v>
      </c>
      <c r="BK103" t="s">
        <v>102</v>
      </c>
      <c r="BL103" t="s">
        <v>1712</v>
      </c>
      <c r="BM103" t="s">
        <v>5259</v>
      </c>
      <c r="BN103" t="s">
        <v>74</v>
      </c>
      <c r="BO103" t="s">
        <v>74</v>
      </c>
      <c r="BP103" t="s">
        <v>74</v>
      </c>
      <c r="BQ103" t="s">
        <v>74</v>
      </c>
      <c r="BR103" t="s">
        <v>105</v>
      </c>
      <c r="BS103" t="s">
        <v>5260</v>
      </c>
      <c r="BT103" t="str">
        <f>HYPERLINK("https%3A%2F%2Fwww.webofscience.com%2Fwos%2Fwoscc%2Ffull-record%2FWOS:000982205500003","View Full Record in Web of Science")</f>
        <v>View Full Record in Web of Science</v>
      </c>
    </row>
    <row r="104" spans="1:72" x14ac:dyDescent="0.2">
      <c r="A104" t="s">
        <v>72</v>
      </c>
      <c r="B104" t="s">
        <v>4028</v>
      </c>
      <c r="C104" t="s">
        <v>74</v>
      </c>
      <c r="D104" t="s">
        <v>74</v>
      </c>
      <c r="E104" t="s">
        <v>74</v>
      </c>
      <c r="F104" t="s">
        <v>4029</v>
      </c>
      <c r="G104" t="s">
        <v>74</v>
      </c>
      <c r="H104" t="s">
        <v>74</v>
      </c>
      <c r="I104" t="s">
        <v>4030</v>
      </c>
      <c r="J104" t="s">
        <v>4031</v>
      </c>
      <c r="K104" t="s">
        <v>74</v>
      </c>
      <c r="L104" t="s">
        <v>74</v>
      </c>
      <c r="M104" t="s">
        <v>78</v>
      </c>
      <c r="N104" t="s">
        <v>79</v>
      </c>
      <c r="O104" t="s">
        <v>74</v>
      </c>
      <c r="P104" t="s">
        <v>74</v>
      </c>
      <c r="Q104" t="s">
        <v>74</v>
      </c>
      <c r="R104" t="s">
        <v>74</v>
      </c>
      <c r="S104" t="s">
        <v>74</v>
      </c>
      <c r="T104" t="s">
        <v>74</v>
      </c>
      <c r="U104" t="s">
        <v>4032</v>
      </c>
      <c r="V104" t="s">
        <v>4033</v>
      </c>
      <c r="W104" s="1" t="s">
        <v>4034</v>
      </c>
      <c r="X104" t="s">
        <v>4035</v>
      </c>
      <c r="Y104" t="s">
        <v>4036</v>
      </c>
      <c r="Z104" t="s">
        <v>4037</v>
      </c>
      <c r="AA104" t="s">
        <v>4038</v>
      </c>
      <c r="AB104" t="s">
        <v>4039</v>
      </c>
      <c r="AC104" t="s">
        <v>4040</v>
      </c>
      <c r="AD104" t="s">
        <v>4041</v>
      </c>
      <c r="AE104" t="s">
        <v>4042</v>
      </c>
      <c r="AF104" t="s">
        <v>4043</v>
      </c>
      <c r="AG104">
        <v>34</v>
      </c>
      <c r="AH104">
        <v>0</v>
      </c>
      <c r="AI104">
        <v>0</v>
      </c>
      <c r="AJ104">
        <v>2</v>
      </c>
      <c r="AK104">
        <v>2</v>
      </c>
      <c r="AL104" t="s">
        <v>4044</v>
      </c>
      <c r="AM104" t="s">
        <v>1383</v>
      </c>
      <c r="AN104" t="s">
        <v>4045</v>
      </c>
      <c r="AO104" t="s">
        <v>4046</v>
      </c>
      <c r="AP104" t="s">
        <v>4047</v>
      </c>
      <c r="AQ104" t="s">
        <v>74</v>
      </c>
      <c r="AR104" t="s">
        <v>4048</v>
      </c>
      <c r="AS104" t="s">
        <v>4049</v>
      </c>
      <c r="AT104" t="s">
        <v>3119</v>
      </c>
      <c r="AU104">
        <v>2023</v>
      </c>
      <c r="AV104">
        <v>48</v>
      </c>
      <c r="AW104">
        <v>3</v>
      </c>
      <c r="AX104" t="s">
        <v>74</v>
      </c>
      <c r="AY104" t="s">
        <v>74</v>
      </c>
      <c r="AZ104" t="s">
        <v>74</v>
      </c>
      <c r="BA104" t="s">
        <v>74</v>
      </c>
      <c r="BB104">
        <v>680</v>
      </c>
      <c r="BC104">
        <v>683</v>
      </c>
      <c r="BD104" t="s">
        <v>74</v>
      </c>
      <c r="BE104" t="s">
        <v>4050</v>
      </c>
      <c r="BF104" t="str">
        <f>HYPERLINK("http://dx.doi.org/10.1364/OL.480692","http://dx.doi.org/10.1364/OL.480692")</f>
        <v>http://dx.doi.org/10.1364/OL.480692</v>
      </c>
      <c r="BG104" t="s">
        <v>74</v>
      </c>
      <c r="BH104" t="s">
        <v>74</v>
      </c>
      <c r="BI104">
        <v>4</v>
      </c>
      <c r="BJ104" t="s">
        <v>4051</v>
      </c>
      <c r="BK104" t="s">
        <v>102</v>
      </c>
      <c r="BL104" t="s">
        <v>4051</v>
      </c>
      <c r="BM104" t="s">
        <v>4052</v>
      </c>
      <c r="BN104">
        <v>36723562</v>
      </c>
      <c r="BO104" t="s">
        <v>74</v>
      </c>
      <c r="BP104" t="s">
        <v>74</v>
      </c>
      <c r="BQ104" t="s">
        <v>74</v>
      </c>
      <c r="BR104" t="s">
        <v>105</v>
      </c>
      <c r="BS104" t="s">
        <v>4053</v>
      </c>
      <c r="BT104" t="str">
        <f>HYPERLINK("https%3A%2F%2Fwww.webofscience.com%2Fwos%2Fwoscc%2Ffull-record%2FWOS:000933735600003","View Full Record in Web of Science")</f>
        <v>View Full Record in Web of Science</v>
      </c>
    </row>
    <row r="105" spans="1:72" x14ac:dyDescent="0.2">
      <c r="A105" t="s">
        <v>72</v>
      </c>
      <c r="B105" t="s">
        <v>3283</v>
      </c>
      <c r="C105" t="s">
        <v>74</v>
      </c>
      <c r="D105" t="s">
        <v>74</v>
      </c>
      <c r="E105" t="s">
        <v>74</v>
      </c>
      <c r="F105" t="s">
        <v>3284</v>
      </c>
      <c r="G105" t="s">
        <v>74</v>
      </c>
      <c r="H105" t="s">
        <v>74</v>
      </c>
      <c r="I105" t="s">
        <v>3285</v>
      </c>
      <c r="J105" t="s">
        <v>373</v>
      </c>
      <c r="K105" t="s">
        <v>74</v>
      </c>
      <c r="L105" t="s">
        <v>74</v>
      </c>
      <c r="M105" t="s">
        <v>78</v>
      </c>
      <c r="N105" t="s">
        <v>79</v>
      </c>
      <c r="O105" t="s">
        <v>74</v>
      </c>
      <c r="P105" t="s">
        <v>74</v>
      </c>
      <c r="Q105" t="s">
        <v>74</v>
      </c>
      <c r="R105" t="s">
        <v>74</v>
      </c>
      <c r="S105" t="s">
        <v>74</v>
      </c>
      <c r="T105" t="s">
        <v>3286</v>
      </c>
      <c r="U105" t="s">
        <v>74</v>
      </c>
      <c r="V105" t="s">
        <v>3287</v>
      </c>
      <c r="W105" s="1" t="s">
        <v>3288</v>
      </c>
      <c r="X105" t="s">
        <v>84</v>
      </c>
      <c r="Y105" t="s">
        <v>3289</v>
      </c>
      <c r="Z105" t="s">
        <v>379</v>
      </c>
      <c r="AA105" t="s">
        <v>74</v>
      </c>
      <c r="AB105" t="s">
        <v>3290</v>
      </c>
      <c r="AC105" t="s">
        <v>3291</v>
      </c>
      <c r="AD105" t="s">
        <v>3291</v>
      </c>
      <c r="AE105" t="s">
        <v>3292</v>
      </c>
      <c r="AF105" t="s">
        <v>3293</v>
      </c>
      <c r="AG105">
        <v>22</v>
      </c>
      <c r="AH105">
        <v>0</v>
      </c>
      <c r="AI105">
        <v>0</v>
      </c>
      <c r="AJ105">
        <v>2</v>
      </c>
      <c r="AK105">
        <v>8</v>
      </c>
      <c r="AL105" t="s">
        <v>150</v>
      </c>
      <c r="AM105" t="s">
        <v>151</v>
      </c>
      <c r="AN105" t="s">
        <v>152</v>
      </c>
      <c r="AO105" t="s">
        <v>384</v>
      </c>
      <c r="AP105" t="s">
        <v>385</v>
      </c>
      <c r="AQ105" t="s">
        <v>74</v>
      </c>
      <c r="AR105" t="s">
        <v>386</v>
      </c>
      <c r="AS105" t="s">
        <v>387</v>
      </c>
      <c r="AT105" t="s">
        <v>126</v>
      </c>
      <c r="AU105">
        <v>2022</v>
      </c>
      <c r="AV105">
        <v>74</v>
      </c>
      <c r="AW105">
        <v>2</v>
      </c>
      <c r="AX105" t="s">
        <v>74</v>
      </c>
      <c r="AY105" t="s">
        <v>74</v>
      </c>
      <c r="AZ105" t="s">
        <v>74</v>
      </c>
      <c r="BA105" t="s">
        <v>74</v>
      </c>
      <c r="BB105">
        <v>347</v>
      </c>
      <c r="BC105">
        <v>355</v>
      </c>
      <c r="BD105" t="s">
        <v>74</v>
      </c>
      <c r="BE105" t="s">
        <v>3294</v>
      </c>
      <c r="BF105" t="str">
        <f>HYPERLINK("http://dx.doi.org/10.1007/s10343-021-00613-y","http://dx.doi.org/10.1007/s10343-021-00613-y")</f>
        <v>http://dx.doi.org/10.1007/s10343-021-00613-y</v>
      </c>
      <c r="BG105" t="s">
        <v>74</v>
      </c>
      <c r="BH105" t="s">
        <v>389</v>
      </c>
      <c r="BI105">
        <v>9</v>
      </c>
      <c r="BJ105" t="s">
        <v>390</v>
      </c>
      <c r="BK105" t="s">
        <v>102</v>
      </c>
      <c r="BL105" t="s">
        <v>160</v>
      </c>
      <c r="BM105" t="s">
        <v>391</v>
      </c>
      <c r="BN105" t="s">
        <v>74</v>
      </c>
      <c r="BO105" t="s">
        <v>74</v>
      </c>
      <c r="BP105" t="s">
        <v>74</v>
      </c>
      <c r="BQ105" t="s">
        <v>74</v>
      </c>
      <c r="BR105" t="s">
        <v>105</v>
      </c>
      <c r="BS105" t="s">
        <v>3295</v>
      </c>
      <c r="BT105" t="str">
        <f>HYPERLINK("https%3A%2F%2Fwww.webofscience.com%2Fwos%2Fwoscc%2Ffull-record%2FWOS:000744857100001","View Full Record in Web of Science")</f>
        <v>View Full Record in Web of Science</v>
      </c>
    </row>
    <row r="106" spans="1:72" x14ac:dyDescent="0.2">
      <c r="A106" t="s">
        <v>72</v>
      </c>
      <c r="B106" t="s">
        <v>370</v>
      </c>
      <c r="C106" t="s">
        <v>74</v>
      </c>
      <c r="D106" t="s">
        <v>74</v>
      </c>
      <c r="E106" t="s">
        <v>74</v>
      </c>
      <c r="F106" t="s">
        <v>371</v>
      </c>
      <c r="G106" t="s">
        <v>74</v>
      </c>
      <c r="H106" t="s">
        <v>74</v>
      </c>
      <c r="I106" t="s">
        <v>372</v>
      </c>
      <c r="J106" t="s">
        <v>373</v>
      </c>
      <c r="K106" t="s">
        <v>74</v>
      </c>
      <c r="L106" t="s">
        <v>74</v>
      </c>
      <c r="M106" t="s">
        <v>78</v>
      </c>
      <c r="N106" t="s">
        <v>79</v>
      </c>
      <c r="O106" t="s">
        <v>74</v>
      </c>
      <c r="P106" t="s">
        <v>74</v>
      </c>
      <c r="Q106" t="s">
        <v>74</v>
      </c>
      <c r="R106" t="s">
        <v>74</v>
      </c>
      <c r="S106" t="s">
        <v>74</v>
      </c>
      <c r="T106" t="s">
        <v>374</v>
      </c>
      <c r="U106" t="s">
        <v>375</v>
      </c>
      <c r="V106" t="s">
        <v>376</v>
      </c>
      <c r="W106" s="1" t="s">
        <v>377</v>
      </c>
      <c r="X106" t="s">
        <v>84</v>
      </c>
      <c r="Y106" t="s">
        <v>378</v>
      </c>
      <c r="Z106" t="s">
        <v>379</v>
      </c>
      <c r="AA106" t="s">
        <v>74</v>
      </c>
      <c r="AB106" t="s">
        <v>380</v>
      </c>
      <c r="AC106" t="s">
        <v>381</v>
      </c>
      <c r="AD106" t="s">
        <v>381</v>
      </c>
      <c r="AE106" t="s">
        <v>382</v>
      </c>
      <c r="AF106" t="s">
        <v>383</v>
      </c>
      <c r="AG106">
        <v>22</v>
      </c>
      <c r="AH106">
        <v>0</v>
      </c>
      <c r="AI106">
        <v>0</v>
      </c>
      <c r="AJ106">
        <v>1</v>
      </c>
      <c r="AK106">
        <v>2</v>
      </c>
      <c r="AL106" t="s">
        <v>150</v>
      </c>
      <c r="AM106" t="s">
        <v>151</v>
      </c>
      <c r="AN106" t="s">
        <v>152</v>
      </c>
      <c r="AO106" t="s">
        <v>384</v>
      </c>
      <c r="AP106" t="s">
        <v>385</v>
      </c>
      <c r="AQ106" t="s">
        <v>74</v>
      </c>
      <c r="AR106" t="s">
        <v>386</v>
      </c>
      <c r="AS106" t="s">
        <v>387</v>
      </c>
      <c r="AT106" t="s">
        <v>126</v>
      </c>
      <c r="AU106">
        <v>2022</v>
      </c>
      <c r="AV106">
        <v>74</v>
      </c>
      <c r="AW106">
        <v>2</v>
      </c>
      <c r="AX106" t="s">
        <v>74</v>
      </c>
      <c r="AY106" t="s">
        <v>74</v>
      </c>
      <c r="AZ106" t="s">
        <v>74</v>
      </c>
      <c r="BA106" t="s">
        <v>74</v>
      </c>
      <c r="BB106">
        <v>249</v>
      </c>
      <c r="BC106">
        <v>257</v>
      </c>
      <c r="BD106" t="s">
        <v>74</v>
      </c>
      <c r="BE106" t="s">
        <v>388</v>
      </c>
      <c r="BF106" t="str">
        <f>HYPERLINK("http://dx.doi.org/10.1007/s10343-021-00605-y","http://dx.doi.org/10.1007/s10343-021-00605-y")</f>
        <v>http://dx.doi.org/10.1007/s10343-021-00605-y</v>
      </c>
      <c r="BG106" t="s">
        <v>74</v>
      </c>
      <c r="BH106" t="s">
        <v>389</v>
      </c>
      <c r="BI106">
        <v>9</v>
      </c>
      <c r="BJ106" t="s">
        <v>390</v>
      </c>
      <c r="BK106" t="s">
        <v>102</v>
      </c>
      <c r="BL106" t="s">
        <v>160</v>
      </c>
      <c r="BM106" t="s">
        <v>391</v>
      </c>
      <c r="BN106" t="s">
        <v>74</v>
      </c>
      <c r="BO106" t="s">
        <v>74</v>
      </c>
      <c r="BP106" t="s">
        <v>74</v>
      </c>
      <c r="BQ106" t="s">
        <v>74</v>
      </c>
      <c r="BR106" t="s">
        <v>105</v>
      </c>
      <c r="BS106" t="s">
        <v>392</v>
      </c>
      <c r="BT106" t="str">
        <f>HYPERLINK("https%3A%2F%2Fwww.webofscience.com%2Fwos%2Fwoscc%2Ffull-record%2FWOS:000739234200001","View Full Record in Web of Science")</f>
        <v>View Full Record in Web of Science</v>
      </c>
    </row>
    <row r="107" spans="1:72" x14ac:dyDescent="0.2">
      <c r="A107" t="s">
        <v>72</v>
      </c>
      <c r="B107" t="s">
        <v>3124</v>
      </c>
      <c r="C107" t="s">
        <v>74</v>
      </c>
      <c r="D107" t="s">
        <v>74</v>
      </c>
      <c r="E107" t="s">
        <v>74</v>
      </c>
      <c r="F107" t="s">
        <v>3125</v>
      </c>
      <c r="G107" t="s">
        <v>74</v>
      </c>
      <c r="H107" t="s">
        <v>74</v>
      </c>
      <c r="I107" t="s">
        <v>3126</v>
      </c>
      <c r="J107" t="s">
        <v>1622</v>
      </c>
      <c r="K107" t="s">
        <v>74</v>
      </c>
      <c r="L107" t="s">
        <v>74</v>
      </c>
      <c r="M107" t="s">
        <v>78</v>
      </c>
      <c r="N107" t="s">
        <v>79</v>
      </c>
      <c r="O107" t="s">
        <v>74</v>
      </c>
      <c r="P107" t="s">
        <v>74</v>
      </c>
      <c r="Q107" t="s">
        <v>74</v>
      </c>
      <c r="R107" t="s">
        <v>74</v>
      </c>
      <c r="S107" t="s">
        <v>74</v>
      </c>
      <c r="T107" t="s">
        <v>3127</v>
      </c>
      <c r="U107" t="s">
        <v>74</v>
      </c>
      <c r="V107" t="s">
        <v>3128</v>
      </c>
      <c r="W107" s="1" t="s">
        <v>3129</v>
      </c>
      <c r="X107" t="s">
        <v>84</v>
      </c>
      <c r="Y107" t="s">
        <v>3130</v>
      </c>
      <c r="Z107" t="s">
        <v>3131</v>
      </c>
      <c r="AA107" t="s">
        <v>74</v>
      </c>
      <c r="AB107" t="s">
        <v>74</v>
      </c>
      <c r="AC107" t="s">
        <v>74</v>
      </c>
      <c r="AD107" t="s">
        <v>74</v>
      </c>
      <c r="AE107" t="s">
        <v>74</v>
      </c>
      <c r="AF107" t="s">
        <v>3132</v>
      </c>
      <c r="AG107">
        <v>43</v>
      </c>
      <c r="AH107">
        <v>0</v>
      </c>
      <c r="AI107">
        <v>0</v>
      </c>
      <c r="AJ107">
        <v>1</v>
      </c>
      <c r="AK107">
        <v>2</v>
      </c>
      <c r="AL107" t="s">
        <v>1631</v>
      </c>
      <c r="AM107" t="s">
        <v>1632</v>
      </c>
      <c r="AN107" t="s">
        <v>1633</v>
      </c>
      <c r="AO107" t="s">
        <v>1634</v>
      </c>
      <c r="AP107" t="s">
        <v>1635</v>
      </c>
      <c r="AQ107" t="s">
        <v>74</v>
      </c>
      <c r="AR107" t="s">
        <v>1622</v>
      </c>
      <c r="AS107" t="s">
        <v>1622</v>
      </c>
      <c r="AT107" t="s">
        <v>1487</v>
      </c>
      <c r="AU107">
        <v>2022</v>
      </c>
      <c r="AV107">
        <v>18</v>
      </c>
      <c r="AW107">
        <v>2</v>
      </c>
      <c r="AX107" t="s">
        <v>74</v>
      </c>
      <c r="AY107" t="s">
        <v>74</v>
      </c>
      <c r="AZ107" t="s">
        <v>74</v>
      </c>
      <c r="BA107" t="s">
        <v>74</v>
      </c>
      <c r="BB107" t="s">
        <v>74</v>
      </c>
      <c r="BC107" t="s">
        <v>74</v>
      </c>
      <c r="BD107" t="s">
        <v>74</v>
      </c>
      <c r="BE107" t="s">
        <v>3133</v>
      </c>
      <c r="BF107" t="str">
        <f>HYPERLINK("http://dx.doi.org/10.17981/ingecuc.18.2.2022.14","http://dx.doi.org/10.17981/ingecuc.18.2.2022.14")</f>
        <v>http://dx.doi.org/10.17981/ingecuc.18.2.2022.14</v>
      </c>
      <c r="BG107" t="s">
        <v>74</v>
      </c>
      <c r="BH107" t="s">
        <v>74</v>
      </c>
      <c r="BI107">
        <v>13</v>
      </c>
      <c r="BJ107" t="s">
        <v>323</v>
      </c>
      <c r="BK107" t="s">
        <v>187</v>
      </c>
      <c r="BL107" t="s">
        <v>324</v>
      </c>
      <c r="BM107" t="s">
        <v>3134</v>
      </c>
      <c r="BN107" t="s">
        <v>74</v>
      </c>
      <c r="BO107" t="s">
        <v>74</v>
      </c>
      <c r="BP107" t="s">
        <v>74</v>
      </c>
      <c r="BQ107" t="s">
        <v>74</v>
      </c>
      <c r="BR107" t="s">
        <v>105</v>
      </c>
      <c r="BS107" t="s">
        <v>3135</v>
      </c>
      <c r="BT107" t="str">
        <f>HYPERLINK("https%3A%2F%2Fwww.webofscience.com%2Fwos%2Fwoscc%2Ffull-record%2FWOS:000878841200001","View Full Record in Web of Science")</f>
        <v>View Full Record in Web of Science</v>
      </c>
    </row>
    <row r="108" spans="1:72" x14ac:dyDescent="0.2">
      <c r="A108" t="s">
        <v>72</v>
      </c>
      <c r="B108" t="s">
        <v>506</v>
      </c>
      <c r="C108" t="s">
        <v>74</v>
      </c>
      <c r="D108" t="s">
        <v>74</v>
      </c>
      <c r="E108" t="s">
        <v>74</v>
      </c>
      <c r="F108" t="s">
        <v>507</v>
      </c>
      <c r="G108" t="s">
        <v>74</v>
      </c>
      <c r="H108" t="s">
        <v>74</v>
      </c>
      <c r="I108" t="s">
        <v>508</v>
      </c>
      <c r="J108" t="s">
        <v>509</v>
      </c>
      <c r="K108" t="s">
        <v>74</v>
      </c>
      <c r="L108" t="s">
        <v>74</v>
      </c>
      <c r="M108" t="s">
        <v>78</v>
      </c>
      <c r="N108" t="s">
        <v>167</v>
      </c>
      <c r="O108" t="s">
        <v>74</v>
      </c>
      <c r="P108" t="s">
        <v>74</v>
      </c>
      <c r="Q108" t="s">
        <v>74</v>
      </c>
      <c r="R108" t="s">
        <v>74</v>
      </c>
      <c r="S108" t="s">
        <v>74</v>
      </c>
      <c r="T108" t="s">
        <v>510</v>
      </c>
      <c r="U108" t="s">
        <v>511</v>
      </c>
      <c r="V108" t="s">
        <v>512</v>
      </c>
      <c r="W108" s="1" t="s">
        <v>513</v>
      </c>
      <c r="X108" t="s">
        <v>514</v>
      </c>
      <c r="Y108" t="s">
        <v>515</v>
      </c>
      <c r="Z108" t="s">
        <v>516</v>
      </c>
      <c r="AA108" t="s">
        <v>74</v>
      </c>
      <c r="AB108" t="s">
        <v>517</v>
      </c>
      <c r="AC108" t="s">
        <v>518</v>
      </c>
      <c r="AD108" t="s">
        <v>518</v>
      </c>
      <c r="AE108" t="s">
        <v>519</v>
      </c>
      <c r="AF108" t="s">
        <v>520</v>
      </c>
      <c r="AG108">
        <v>205</v>
      </c>
      <c r="AH108">
        <v>0</v>
      </c>
      <c r="AI108">
        <v>0</v>
      </c>
      <c r="AJ108">
        <v>0</v>
      </c>
      <c r="AK108">
        <v>0</v>
      </c>
      <c r="AL108" t="s">
        <v>521</v>
      </c>
      <c r="AM108" t="s">
        <v>522</v>
      </c>
      <c r="AN108" t="s">
        <v>523</v>
      </c>
      <c r="AO108" t="s">
        <v>524</v>
      </c>
      <c r="AP108" t="s">
        <v>74</v>
      </c>
      <c r="AQ108" t="s">
        <v>74</v>
      </c>
      <c r="AR108" t="s">
        <v>525</v>
      </c>
      <c r="AS108" t="s">
        <v>526</v>
      </c>
      <c r="AT108" t="s">
        <v>74</v>
      </c>
      <c r="AU108">
        <v>2023</v>
      </c>
      <c r="AV108">
        <v>15</v>
      </c>
      <c r="AW108" t="s">
        <v>74</v>
      </c>
      <c r="AX108" t="s">
        <v>74</v>
      </c>
      <c r="AY108" t="s">
        <v>74</v>
      </c>
      <c r="AZ108" t="s">
        <v>74</v>
      </c>
      <c r="BA108" t="s">
        <v>74</v>
      </c>
      <c r="BB108">
        <v>189</v>
      </c>
      <c r="BC108">
        <v>211</v>
      </c>
      <c r="BD108" t="s">
        <v>74</v>
      </c>
      <c r="BE108" t="s">
        <v>527</v>
      </c>
      <c r="BF108" t="str">
        <f>HYPERLINK("http://dx.doi.org/10.2147/BCTT.S383759","http://dx.doi.org/10.2147/BCTT.S383759")</f>
        <v>http://dx.doi.org/10.2147/BCTT.S383759</v>
      </c>
      <c r="BG108" t="s">
        <v>74</v>
      </c>
      <c r="BH108" t="s">
        <v>74</v>
      </c>
      <c r="BI108">
        <v>23</v>
      </c>
      <c r="BJ108" t="s">
        <v>528</v>
      </c>
      <c r="BK108" t="s">
        <v>102</v>
      </c>
      <c r="BL108" t="s">
        <v>528</v>
      </c>
      <c r="BM108" t="s">
        <v>529</v>
      </c>
      <c r="BN108">
        <v>36923397</v>
      </c>
      <c r="BO108" t="s">
        <v>104</v>
      </c>
      <c r="BP108" t="s">
        <v>74</v>
      </c>
      <c r="BQ108" t="s">
        <v>74</v>
      </c>
      <c r="BR108" t="s">
        <v>105</v>
      </c>
      <c r="BS108" t="s">
        <v>530</v>
      </c>
      <c r="BT108" t="str">
        <f>HYPERLINK("https%3A%2F%2Fwww.webofscience.com%2Fwos%2Fwoscc%2Ffull-record%2FWOS:000952350600001","View Full Record in Web of Science")</f>
        <v>View Full Record in Web of Science</v>
      </c>
    </row>
    <row r="109" spans="1:72" x14ac:dyDescent="0.2">
      <c r="A109" t="s">
        <v>72</v>
      </c>
      <c r="B109" t="s">
        <v>739</v>
      </c>
      <c r="C109" t="s">
        <v>74</v>
      </c>
      <c r="D109" t="s">
        <v>74</v>
      </c>
      <c r="E109" t="s">
        <v>74</v>
      </c>
      <c r="F109" t="s">
        <v>740</v>
      </c>
      <c r="G109" t="s">
        <v>74</v>
      </c>
      <c r="H109" t="s">
        <v>74</v>
      </c>
      <c r="I109" t="s">
        <v>741</v>
      </c>
      <c r="J109" t="s">
        <v>742</v>
      </c>
      <c r="K109" t="s">
        <v>74</v>
      </c>
      <c r="L109" t="s">
        <v>74</v>
      </c>
      <c r="M109" t="s">
        <v>78</v>
      </c>
      <c r="N109" t="s">
        <v>79</v>
      </c>
      <c r="O109" t="s">
        <v>74</v>
      </c>
      <c r="P109" t="s">
        <v>74</v>
      </c>
      <c r="Q109" t="s">
        <v>74</v>
      </c>
      <c r="R109" t="s">
        <v>74</v>
      </c>
      <c r="S109" t="s">
        <v>74</v>
      </c>
      <c r="T109" t="s">
        <v>743</v>
      </c>
      <c r="U109" t="s">
        <v>744</v>
      </c>
      <c r="V109" t="s">
        <v>745</v>
      </c>
      <c r="W109" s="1" t="s">
        <v>746</v>
      </c>
      <c r="X109" t="s">
        <v>701</v>
      </c>
      <c r="Y109" t="s">
        <v>747</v>
      </c>
      <c r="Z109" t="s">
        <v>748</v>
      </c>
      <c r="AA109" t="s">
        <v>749</v>
      </c>
      <c r="AB109" t="s">
        <v>750</v>
      </c>
      <c r="AC109" t="s">
        <v>751</v>
      </c>
      <c r="AD109" t="s">
        <v>752</v>
      </c>
      <c r="AE109" t="s">
        <v>753</v>
      </c>
      <c r="AF109" t="s">
        <v>754</v>
      </c>
      <c r="AG109">
        <v>60</v>
      </c>
      <c r="AH109">
        <v>3</v>
      </c>
      <c r="AI109">
        <v>3</v>
      </c>
      <c r="AJ109">
        <v>3</v>
      </c>
      <c r="AK109">
        <v>8</v>
      </c>
      <c r="AL109" t="s">
        <v>263</v>
      </c>
      <c r="AM109" t="s">
        <v>264</v>
      </c>
      <c r="AN109" t="s">
        <v>265</v>
      </c>
      <c r="AO109" t="s">
        <v>755</v>
      </c>
      <c r="AP109" t="s">
        <v>756</v>
      </c>
      <c r="AQ109" t="s">
        <v>74</v>
      </c>
      <c r="AR109" t="s">
        <v>757</v>
      </c>
      <c r="AS109" t="s">
        <v>758</v>
      </c>
      <c r="AT109" t="s">
        <v>759</v>
      </c>
      <c r="AU109">
        <v>2022</v>
      </c>
      <c r="AV109">
        <v>1268</v>
      </c>
      <c r="AW109" t="s">
        <v>74</v>
      </c>
      <c r="AX109" t="s">
        <v>74</v>
      </c>
      <c r="AY109" t="s">
        <v>74</v>
      </c>
      <c r="AZ109" t="s">
        <v>74</v>
      </c>
      <c r="BA109" t="s">
        <v>74</v>
      </c>
      <c r="BB109" t="s">
        <v>74</v>
      </c>
      <c r="BC109" t="s">
        <v>74</v>
      </c>
      <c r="BD109">
        <v>133713</v>
      </c>
      <c r="BE109" t="s">
        <v>760</v>
      </c>
      <c r="BF109" t="str">
        <f>HYPERLINK("http://dx.doi.org/10.1016/j.molstruc.2022.133713","http://dx.doi.org/10.1016/j.molstruc.2022.133713")</f>
        <v>http://dx.doi.org/10.1016/j.molstruc.2022.133713</v>
      </c>
      <c r="BG109" t="s">
        <v>74</v>
      </c>
      <c r="BH109" t="s">
        <v>501</v>
      </c>
      <c r="BI109">
        <v>11</v>
      </c>
      <c r="BJ109" t="s">
        <v>761</v>
      </c>
      <c r="BK109" t="s">
        <v>102</v>
      </c>
      <c r="BL109" t="s">
        <v>216</v>
      </c>
      <c r="BM109" t="s">
        <v>762</v>
      </c>
      <c r="BN109" t="s">
        <v>74</v>
      </c>
      <c r="BO109" t="s">
        <v>74</v>
      </c>
      <c r="BP109" t="s">
        <v>74</v>
      </c>
      <c r="BQ109" t="s">
        <v>74</v>
      </c>
      <c r="BR109" t="s">
        <v>105</v>
      </c>
      <c r="BS109" t="s">
        <v>763</v>
      </c>
      <c r="BT109" t="str">
        <f>HYPERLINK("https%3A%2F%2Fwww.webofscience.com%2Fwos%2Fwoscc%2Ffull-record%2FWOS:000831707400002","View Full Record in Web of Science")</f>
        <v>View Full Record in Web of Science</v>
      </c>
    </row>
    <row r="110" spans="1:72" x14ac:dyDescent="0.2">
      <c r="A110" t="s">
        <v>72</v>
      </c>
      <c r="B110" t="s">
        <v>1296</v>
      </c>
      <c r="C110" t="s">
        <v>74</v>
      </c>
      <c r="D110" t="s">
        <v>74</v>
      </c>
      <c r="E110" t="s">
        <v>74</v>
      </c>
      <c r="F110" t="s">
        <v>1297</v>
      </c>
      <c r="G110" t="s">
        <v>74</v>
      </c>
      <c r="H110" t="s">
        <v>74</v>
      </c>
      <c r="I110" t="s">
        <v>1298</v>
      </c>
      <c r="J110" t="s">
        <v>1299</v>
      </c>
      <c r="K110" t="s">
        <v>74</v>
      </c>
      <c r="L110" t="s">
        <v>74</v>
      </c>
      <c r="M110" t="s">
        <v>78</v>
      </c>
      <c r="N110" t="s">
        <v>79</v>
      </c>
      <c r="O110" t="s">
        <v>74</v>
      </c>
      <c r="P110" t="s">
        <v>74</v>
      </c>
      <c r="Q110" t="s">
        <v>74</v>
      </c>
      <c r="R110" t="s">
        <v>74</v>
      </c>
      <c r="S110" t="s">
        <v>74</v>
      </c>
      <c r="T110" t="s">
        <v>1300</v>
      </c>
      <c r="U110" t="s">
        <v>1301</v>
      </c>
      <c r="V110" t="s">
        <v>1302</v>
      </c>
      <c r="W110" s="1" t="s">
        <v>1303</v>
      </c>
      <c r="X110" t="s">
        <v>701</v>
      </c>
      <c r="Y110" t="s">
        <v>1304</v>
      </c>
      <c r="Z110" t="s">
        <v>1305</v>
      </c>
      <c r="AA110" t="s">
        <v>1306</v>
      </c>
      <c r="AB110" t="s">
        <v>1307</v>
      </c>
      <c r="AC110" t="s">
        <v>1308</v>
      </c>
      <c r="AD110" t="s">
        <v>707</v>
      </c>
      <c r="AE110" t="s">
        <v>1309</v>
      </c>
      <c r="AF110" t="s">
        <v>1310</v>
      </c>
      <c r="AG110">
        <v>69</v>
      </c>
      <c r="AH110">
        <v>0</v>
      </c>
      <c r="AI110">
        <v>0</v>
      </c>
      <c r="AJ110">
        <v>1</v>
      </c>
      <c r="AK110">
        <v>1</v>
      </c>
      <c r="AL110" t="s">
        <v>93</v>
      </c>
      <c r="AM110" t="s">
        <v>94</v>
      </c>
      <c r="AN110" t="s">
        <v>95</v>
      </c>
      <c r="AO110" t="s">
        <v>74</v>
      </c>
      <c r="AP110" t="s">
        <v>1311</v>
      </c>
      <c r="AQ110" t="s">
        <v>74</v>
      </c>
      <c r="AR110" t="s">
        <v>1299</v>
      </c>
      <c r="AS110" t="s">
        <v>1312</v>
      </c>
      <c r="AT110" t="s">
        <v>268</v>
      </c>
      <c r="AU110">
        <v>2023</v>
      </c>
      <c r="AV110">
        <v>13</v>
      </c>
      <c r="AW110">
        <v>4</v>
      </c>
      <c r="AX110" t="s">
        <v>74</v>
      </c>
      <c r="AY110" t="s">
        <v>74</v>
      </c>
      <c r="AZ110" t="s">
        <v>74</v>
      </c>
      <c r="BA110" t="s">
        <v>74</v>
      </c>
      <c r="BB110" t="s">
        <v>74</v>
      </c>
      <c r="BC110" t="s">
        <v>74</v>
      </c>
      <c r="BD110">
        <v>694</v>
      </c>
      <c r="BE110" t="s">
        <v>1313</v>
      </c>
      <c r="BF110" t="str">
        <f>HYPERLINK("http://dx.doi.org/10.3390/cryst13040694","http://dx.doi.org/10.3390/cryst13040694")</f>
        <v>http://dx.doi.org/10.3390/cryst13040694</v>
      </c>
      <c r="BG110" t="s">
        <v>74</v>
      </c>
      <c r="BH110" t="s">
        <v>74</v>
      </c>
      <c r="BI110">
        <v>19</v>
      </c>
      <c r="BJ110" t="s">
        <v>1314</v>
      </c>
      <c r="BK110" t="s">
        <v>102</v>
      </c>
      <c r="BL110" t="s">
        <v>1315</v>
      </c>
      <c r="BM110" t="s">
        <v>1316</v>
      </c>
      <c r="BN110" t="s">
        <v>74</v>
      </c>
      <c r="BO110" t="s">
        <v>190</v>
      </c>
      <c r="BP110" t="s">
        <v>74</v>
      </c>
      <c r="BQ110" t="s">
        <v>74</v>
      </c>
      <c r="BR110" t="s">
        <v>105</v>
      </c>
      <c r="BS110" t="s">
        <v>1317</v>
      </c>
      <c r="BT110" t="str">
        <f>HYPERLINK("https%3A%2F%2Fwww.webofscience.com%2Fwos%2Fwoscc%2Ffull-record%2FWOS:000979315100001","View Full Record in Web of Science")</f>
        <v>View Full Record in Web of Science</v>
      </c>
    </row>
    <row r="111" spans="1:72" x14ac:dyDescent="0.2">
      <c r="A111" t="s">
        <v>72</v>
      </c>
      <c r="B111" t="s">
        <v>1941</v>
      </c>
      <c r="C111" t="s">
        <v>74</v>
      </c>
      <c r="D111" t="s">
        <v>74</v>
      </c>
      <c r="E111" t="s">
        <v>74</v>
      </c>
      <c r="F111" t="s">
        <v>1942</v>
      </c>
      <c r="G111" t="s">
        <v>74</v>
      </c>
      <c r="H111" t="s">
        <v>74</v>
      </c>
      <c r="I111" t="s">
        <v>1943</v>
      </c>
      <c r="J111" t="s">
        <v>1944</v>
      </c>
      <c r="K111" t="s">
        <v>74</v>
      </c>
      <c r="L111" t="s">
        <v>74</v>
      </c>
      <c r="M111" t="s">
        <v>1517</v>
      </c>
      <c r="N111" t="s">
        <v>79</v>
      </c>
      <c r="O111" t="s">
        <v>74</v>
      </c>
      <c r="P111" t="s">
        <v>74</v>
      </c>
      <c r="Q111" t="s">
        <v>74</v>
      </c>
      <c r="R111" t="s">
        <v>74</v>
      </c>
      <c r="S111" t="s">
        <v>74</v>
      </c>
      <c r="T111" t="s">
        <v>1945</v>
      </c>
      <c r="U111" t="s">
        <v>1946</v>
      </c>
      <c r="V111" t="s">
        <v>1947</v>
      </c>
      <c r="W111" s="1" t="s">
        <v>1948</v>
      </c>
      <c r="X111" t="s">
        <v>142</v>
      </c>
      <c r="Y111" t="s">
        <v>1949</v>
      </c>
      <c r="Z111" t="s">
        <v>1950</v>
      </c>
      <c r="AA111" t="s">
        <v>74</v>
      </c>
      <c r="AB111" t="s">
        <v>74</v>
      </c>
      <c r="AC111" t="s">
        <v>74</v>
      </c>
      <c r="AD111" t="s">
        <v>74</v>
      </c>
      <c r="AE111" t="s">
        <v>74</v>
      </c>
      <c r="AF111" t="s">
        <v>1951</v>
      </c>
      <c r="AG111">
        <v>96</v>
      </c>
      <c r="AH111">
        <v>0</v>
      </c>
      <c r="AI111">
        <v>0</v>
      </c>
      <c r="AJ111">
        <v>1</v>
      </c>
      <c r="AK111">
        <v>11</v>
      </c>
      <c r="AL111" t="s">
        <v>1952</v>
      </c>
      <c r="AM111" t="s">
        <v>316</v>
      </c>
      <c r="AN111" t="s">
        <v>1953</v>
      </c>
      <c r="AO111" t="s">
        <v>1954</v>
      </c>
      <c r="AP111" t="s">
        <v>1955</v>
      </c>
      <c r="AQ111" t="s">
        <v>74</v>
      </c>
      <c r="AR111" t="s">
        <v>1956</v>
      </c>
      <c r="AS111" t="s">
        <v>1957</v>
      </c>
      <c r="AT111" t="s">
        <v>1527</v>
      </c>
      <c r="AU111">
        <v>2022</v>
      </c>
      <c r="AV111">
        <v>30</v>
      </c>
      <c r="AW111" t="s">
        <v>74</v>
      </c>
      <c r="AX111" t="s">
        <v>74</v>
      </c>
      <c r="AY111" t="s">
        <v>74</v>
      </c>
      <c r="AZ111" t="s">
        <v>74</v>
      </c>
      <c r="BA111" t="s">
        <v>74</v>
      </c>
      <c r="BB111">
        <v>25</v>
      </c>
      <c r="BC111">
        <v>49</v>
      </c>
      <c r="BD111" t="s">
        <v>74</v>
      </c>
      <c r="BE111" t="s">
        <v>1958</v>
      </c>
      <c r="BF111" t="str">
        <f>HYPERLINK("http://dx.doi.org/10.18601/01207555.n30.02","http://dx.doi.org/10.18601/01207555.n30.02")</f>
        <v>http://dx.doi.org/10.18601/01207555.n30.02</v>
      </c>
      <c r="BG111" t="s">
        <v>74</v>
      </c>
      <c r="BH111" t="s">
        <v>74</v>
      </c>
      <c r="BI111">
        <v>25</v>
      </c>
      <c r="BJ111" t="s">
        <v>1959</v>
      </c>
      <c r="BK111" t="s">
        <v>187</v>
      </c>
      <c r="BL111" t="s">
        <v>1960</v>
      </c>
      <c r="BM111" t="s">
        <v>1961</v>
      </c>
      <c r="BN111" t="s">
        <v>74</v>
      </c>
      <c r="BO111" t="s">
        <v>1111</v>
      </c>
      <c r="BP111" t="s">
        <v>74</v>
      </c>
      <c r="BQ111" t="s">
        <v>74</v>
      </c>
      <c r="BR111" t="s">
        <v>105</v>
      </c>
      <c r="BS111" t="s">
        <v>1962</v>
      </c>
      <c r="BT111" t="str">
        <f>HYPERLINK("https%3A%2F%2Fwww.webofscience.com%2Fwos%2Fwoscc%2Ffull-record%2FWOS:000743925000001","View Full Record in Web of Science")</f>
        <v>View Full Record in Web of Science</v>
      </c>
    </row>
    <row r="112" spans="1:72" x14ac:dyDescent="0.2">
      <c r="A112" t="s">
        <v>72</v>
      </c>
      <c r="B112" t="s">
        <v>790</v>
      </c>
      <c r="C112" t="s">
        <v>74</v>
      </c>
      <c r="D112" t="s">
        <v>74</v>
      </c>
      <c r="E112" t="s">
        <v>74</v>
      </c>
      <c r="F112" t="s">
        <v>791</v>
      </c>
      <c r="G112" t="s">
        <v>74</v>
      </c>
      <c r="H112" t="s">
        <v>74</v>
      </c>
      <c r="I112" t="s">
        <v>792</v>
      </c>
      <c r="J112" t="s">
        <v>348</v>
      </c>
      <c r="K112" t="s">
        <v>74</v>
      </c>
      <c r="L112" t="s">
        <v>74</v>
      </c>
      <c r="M112" t="s">
        <v>78</v>
      </c>
      <c r="N112" t="s">
        <v>79</v>
      </c>
      <c r="O112" t="s">
        <v>74</v>
      </c>
      <c r="P112" t="s">
        <v>74</v>
      </c>
      <c r="Q112" t="s">
        <v>74</v>
      </c>
      <c r="R112" t="s">
        <v>74</v>
      </c>
      <c r="S112" t="s">
        <v>74</v>
      </c>
      <c r="T112" t="s">
        <v>793</v>
      </c>
      <c r="U112" t="s">
        <v>74</v>
      </c>
      <c r="V112" t="s">
        <v>794</v>
      </c>
      <c r="W112" s="1" t="s">
        <v>795</v>
      </c>
      <c r="X112" t="s">
        <v>796</v>
      </c>
      <c r="Y112" t="s">
        <v>797</v>
      </c>
      <c r="Z112" t="s">
        <v>798</v>
      </c>
      <c r="AA112" t="s">
        <v>799</v>
      </c>
      <c r="AB112" t="s">
        <v>800</v>
      </c>
      <c r="AC112" t="s">
        <v>801</v>
      </c>
      <c r="AD112" t="s">
        <v>491</v>
      </c>
      <c r="AE112" t="s">
        <v>802</v>
      </c>
      <c r="AF112" t="s">
        <v>803</v>
      </c>
      <c r="AG112">
        <v>57</v>
      </c>
      <c r="AH112">
        <v>0</v>
      </c>
      <c r="AI112">
        <v>0</v>
      </c>
      <c r="AJ112">
        <v>2</v>
      </c>
      <c r="AK112">
        <v>4</v>
      </c>
      <c r="AL112" t="s">
        <v>93</v>
      </c>
      <c r="AM112" t="s">
        <v>94</v>
      </c>
      <c r="AN112" t="s">
        <v>95</v>
      </c>
      <c r="AO112" t="s">
        <v>74</v>
      </c>
      <c r="AP112" t="s">
        <v>362</v>
      </c>
      <c r="AQ112" t="s">
        <v>74</v>
      </c>
      <c r="AR112" t="s">
        <v>363</v>
      </c>
      <c r="AS112" t="s">
        <v>364</v>
      </c>
      <c r="AT112" t="s">
        <v>242</v>
      </c>
      <c r="AU112">
        <v>2022</v>
      </c>
      <c r="AV112">
        <v>22</v>
      </c>
      <c r="AW112">
        <v>13</v>
      </c>
      <c r="AX112" t="s">
        <v>74</v>
      </c>
      <c r="AY112" t="s">
        <v>74</v>
      </c>
      <c r="AZ112" t="s">
        <v>74</v>
      </c>
      <c r="BA112" t="s">
        <v>74</v>
      </c>
      <c r="BB112" t="s">
        <v>74</v>
      </c>
      <c r="BC112" t="s">
        <v>74</v>
      </c>
      <c r="BD112">
        <v>4898</v>
      </c>
      <c r="BE112" t="s">
        <v>804</v>
      </c>
      <c r="BF112" t="str">
        <f>HYPERLINK("http://dx.doi.org/10.3390/s22134898","http://dx.doi.org/10.3390/s22134898")</f>
        <v>http://dx.doi.org/10.3390/s22134898</v>
      </c>
      <c r="BG112" t="s">
        <v>74</v>
      </c>
      <c r="BH112" t="s">
        <v>74</v>
      </c>
      <c r="BI112">
        <v>20</v>
      </c>
      <c r="BJ112" t="s">
        <v>366</v>
      </c>
      <c r="BK112" t="s">
        <v>102</v>
      </c>
      <c r="BL112" t="s">
        <v>367</v>
      </c>
      <c r="BM112" t="s">
        <v>805</v>
      </c>
      <c r="BN112">
        <v>35808393</v>
      </c>
      <c r="BO112" t="s">
        <v>104</v>
      </c>
      <c r="BP112" t="s">
        <v>74</v>
      </c>
      <c r="BQ112" t="s">
        <v>74</v>
      </c>
      <c r="BR112" t="s">
        <v>105</v>
      </c>
      <c r="BS112" t="s">
        <v>806</v>
      </c>
      <c r="BT112" t="str">
        <f>HYPERLINK("https%3A%2F%2Fwww.webofscience.com%2Fwos%2Fwoscc%2Ffull-record%2FWOS:000825652500001","View Full Record in Web of Science")</f>
        <v>View Full Record in Web of Science</v>
      </c>
    </row>
    <row r="113" spans="1:72" x14ac:dyDescent="0.2">
      <c r="A113" t="s">
        <v>72</v>
      </c>
      <c r="B113" t="s">
        <v>6356</v>
      </c>
      <c r="C113" t="s">
        <v>74</v>
      </c>
      <c r="D113" t="s">
        <v>74</v>
      </c>
      <c r="E113" t="s">
        <v>74</v>
      </c>
      <c r="F113" t="s">
        <v>6357</v>
      </c>
      <c r="G113" t="s">
        <v>74</v>
      </c>
      <c r="H113" t="s">
        <v>74</v>
      </c>
      <c r="I113" t="s">
        <v>6358</v>
      </c>
      <c r="J113" t="s">
        <v>6359</v>
      </c>
      <c r="K113" t="s">
        <v>74</v>
      </c>
      <c r="L113" t="s">
        <v>74</v>
      </c>
      <c r="M113" t="s">
        <v>78</v>
      </c>
      <c r="N113" t="s">
        <v>137</v>
      </c>
      <c r="O113" t="s">
        <v>74</v>
      </c>
      <c r="P113" t="s">
        <v>74</v>
      </c>
      <c r="Q113" t="s">
        <v>74</v>
      </c>
      <c r="R113" t="s">
        <v>74</v>
      </c>
      <c r="S113" t="s">
        <v>74</v>
      </c>
      <c r="T113" t="s">
        <v>6360</v>
      </c>
      <c r="U113" t="s">
        <v>6361</v>
      </c>
      <c r="V113" t="s">
        <v>6362</v>
      </c>
      <c r="W113" s="1" t="s">
        <v>6363</v>
      </c>
      <c r="X113" t="s">
        <v>6364</v>
      </c>
      <c r="Y113" t="s">
        <v>6365</v>
      </c>
      <c r="Z113" t="s">
        <v>6305</v>
      </c>
      <c r="AA113" t="s">
        <v>6366</v>
      </c>
      <c r="AB113" t="s">
        <v>6367</v>
      </c>
      <c r="AC113" t="s">
        <v>74</v>
      </c>
      <c r="AD113" t="s">
        <v>74</v>
      </c>
      <c r="AE113" t="s">
        <v>74</v>
      </c>
      <c r="AF113" t="s">
        <v>6368</v>
      </c>
      <c r="AG113">
        <v>135</v>
      </c>
      <c r="AH113">
        <v>0</v>
      </c>
      <c r="AI113">
        <v>0</v>
      </c>
      <c r="AJ113">
        <v>1</v>
      </c>
      <c r="AK113">
        <v>6</v>
      </c>
      <c r="AL113" t="s">
        <v>150</v>
      </c>
      <c r="AM113" t="s">
        <v>151</v>
      </c>
      <c r="AN113" t="s">
        <v>152</v>
      </c>
      <c r="AO113" t="s">
        <v>6369</v>
      </c>
      <c r="AP113" t="s">
        <v>6370</v>
      </c>
      <c r="AQ113" t="s">
        <v>74</v>
      </c>
      <c r="AR113" t="s">
        <v>6371</v>
      </c>
      <c r="AS113" t="s">
        <v>6372</v>
      </c>
      <c r="AT113" t="s">
        <v>6373</v>
      </c>
      <c r="AU113">
        <v>2022</v>
      </c>
      <c r="AV113" t="s">
        <v>74</v>
      </c>
      <c r="AW113" t="s">
        <v>74</v>
      </c>
      <c r="AX113" t="s">
        <v>74</v>
      </c>
      <c r="AY113" t="s">
        <v>74</v>
      </c>
      <c r="AZ113" t="s">
        <v>74</v>
      </c>
      <c r="BA113" t="s">
        <v>74</v>
      </c>
      <c r="BB113" t="s">
        <v>74</v>
      </c>
      <c r="BC113" t="s">
        <v>74</v>
      </c>
      <c r="BD113" t="s">
        <v>74</v>
      </c>
      <c r="BE113" t="s">
        <v>6374</v>
      </c>
      <c r="BF113" t="str">
        <f>HYPERLINK("http://dx.doi.org/10.1007/s12144-022-03465-5","http://dx.doi.org/10.1007/s12144-022-03465-5")</f>
        <v>http://dx.doi.org/10.1007/s12144-022-03465-5</v>
      </c>
      <c r="BG113" t="s">
        <v>74</v>
      </c>
      <c r="BH113" t="s">
        <v>501</v>
      </c>
      <c r="BI113">
        <v>16</v>
      </c>
      <c r="BJ113" t="s">
        <v>2200</v>
      </c>
      <c r="BK113" t="s">
        <v>4335</v>
      </c>
      <c r="BL113" t="s">
        <v>2201</v>
      </c>
      <c r="BM113" t="s">
        <v>6375</v>
      </c>
      <c r="BN113">
        <v>35915774</v>
      </c>
      <c r="BO113" t="s">
        <v>6376</v>
      </c>
      <c r="BP113" t="s">
        <v>74</v>
      </c>
      <c r="BQ113" t="s">
        <v>74</v>
      </c>
      <c r="BR113" t="s">
        <v>105</v>
      </c>
      <c r="BS113" t="s">
        <v>6377</v>
      </c>
      <c r="BT113" t="str">
        <f>HYPERLINK("https%3A%2F%2Fwww.webofscience.com%2Fwos%2Fwoscc%2Ffull-record%2FWOS:000830976700002","View Full Record in Web of Science")</f>
        <v>View Full Record in Web of Science</v>
      </c>
    </row>
    <row r="114" spans="1:72" x14ac:dyDescent="0.2">
      <c r="A114" t="s">
        <v>72</v>
      </c>
      <c r="B114" t="s">
        <v>6295</v>
      </c>
      <c r="C114" t="s">
        <v>74</v>
      </c>
      <c r="D114" t="s">
        <v>74</v>
      </c>
      <c r="E114" t="s">
        <v>74</v>
      </c>
      <c r="F114" t="s">
        <v>6296</v>
      </c>
      <c r="G114" t="s">
        <v>74</v>
      </c>
      <c r="H114" t="s">
        <v>74</v>
      </c>
      <c r="I114" t="s">
        <v>6297</v>
      </c>
      <c r="J114" t="s">
        <v>6298</v>
      </c>
      <c r="K114" t="s">
        <v>74</v>
      </c>
      <c r="L114" t="s">
        <v>74</v>
      </c>
      <c r="M114" t="s">
        <v>78</v>
      </c>
      <c r="N114" t="s">
        <v>79</v>
      </c>
      <c r="O114" t="s">
        <v>74</v>
      </c>
      <c r="P114" t="s">
        <v>74</v>
      </c>
      <c r="Q114" t="s">
        <v>74</v>
      </c>
      <c r="R114" t="s">
        <v>74</v>
      </c>
      <c r="S114" t="s">
        <v>74</v>
      </c>
      <c r="T114" t="s">
        <v>6299</v>
      </c>
      <c r="U114" t="s">
        <v>6300</v>
      </c>
      <c r="V114" t="s">
        <v>6301</v>
      </c>
      <c r="W114" s="1" t="s">
        <v>6302</v>
      </c>
      <c r="X114" t="s">
        <v>6303</v>
      </c>
      <c r="Y114" t="s">
        <v>6304</v>
      </c>
      <c r="Z114" t="s">
        <v>6305</v>
      </c>
      <c r="AA114" t="s">
        <v>6306</v>
      </c>
      <c r="AB114" t="s">
        <v>6307</v>
      </c>
      <c r="AC114" t="s">
        <v>74</v>
      </c>
      <c r="AD114" t="s">
        <v>74</v>
      </c>
      <c r="AE114" t="s">
        <v>74</v>
      </c>
      <c r="AF114" t="s">
        <v>6308</v>
      </c>
      <c r="AG114">
        <v>114</v>
      </c>
      <c r="AH114">
        <v>0</v>
      </c>
      <c r="AI114">
        <v>0</v>
      </c>
      <c r="AJ114">
        <v>2</v>
      </c>
      <c r="AK114">
        <v>6</v>
      </c>
      <c r="AL114" t="s">
        <v>2042</v>
      </c>
      <c r="AM114" t="s">
        <v>2043</v>
      </c>
      <c r="AN114" t="s">
        <v>2044</v>
      </c>
      <c r="AO114" t="s">
        <v>6309</v>
      </c>
      <c r="AP114" t="s">
        <v>74</v>
      </c>
      <c r="AQ114" t="s">
        <v>74</v>
      </c>
      <c r="AR114" t="s">
        <v>6310</v>
      </c>
      <c r="AS114" t="s">
        <v>6311</v>
      </c>
      <c r="AT114" t="s">
        <v>6312</v>
      </c>
      <c r="AU114">
        <v>2022</v>
      </c>
      <c r="AV114">
        <v>13</v>
      </c>
      <c r="AW114" t="s">
        <v>74</v>
      </c>
      <c r="AX114" t="s">
        <v>74</v>
      </c>
      <c r="AY114" t="s">
        <v>74</v>
      </c>
      <c r="AZ114" t="s">
        <v>74</v>
      </c>
      <c r="BA114" t="s">
        <v>74</v>
      </c>
      <c r="BB114" t="s">
        <v>74</v>
      </c>
      <c r="BC114" t="s">
        <v>74</v>
      </c>
      <c r="BD114">
        <v>974133</v>
      </c>
      <c r="BE114" t="s">
        <v>6313</v>
      </c>
      <c r="BF114" t="str">
        <f>HYPERLINK("http://dx.doi.org/10.3389/fpsyg.2022.974133","http://dx.doi.org/10.3389/fpsyg.2022.974133")</f>
        <v>http://dx.doi.org/10.3389/fpsyg.2022.974133</v>
      </c>
      <c r="BG114" t="s">
        <v>74</v>
      </c>
      <c r="BH114" t="s">
        <v>74</v>
      </c>
      <c r="BI114">
        <v>24</v>
      </c>
      <c r="BJ114" t="s">
        <v>2200</v>
      </c>
      <c r="BK114" t="s">
        <v>4335</v>
      </c>
      <c r="BL114" t="s">
        <v>2201</v>
      </c>
      <c r="BM114" t="s">
        <v>6314</v>
      </c>
      <c r="BN114">
        <v>36186323</v>
      </c>
      <c r="BO114" t="s">
        <v>104</v>
      </c>
      <c r="BP114" t="s">
        <v>74</v>
      </c>
      <c r="BQ114" t="s">
        <v>74</v>
      </c>
      <c r="BR114" t="s">
        <v>105</v>
      </c>
      <c r="BS114" t="s">
        <v>6315</v>
      </c>
      <c r="BT114" t="str">
        <f>HYPERLINK("https%3A%2F%2Fwww.webofscience.com%2Fwos%2Fwoscc%2Ffull-record%2FWOS:000862669000001","View Full Record in Web of Science")</f>
        <v>View Full Record in Web of Science</v>
      </c>
    </row>
    <row r="115" spans="1:72" x14ac:dyDescent="0.2">
      <c r="A115" t="s">
        <v>72</v>
      </c>
      <c r="B115" t="s">
        <v>3942</v>
      </c>
      <c r="C115" t="s">
        <v>74</v>
      </c>
      <c r="D115" t="s">
        <v>74</v>
      </c>
      <c r="E115" t="s">
        <v>74</v>
      </c>
      <c r="F115" t="s">
        <v>3943</v>
      </c>
      <c r="G115" t="s">
        <v>74</v>
      </c>
      <c r="H115" t="s">
        <v>74</v>
      </c>
      <c r="I115" t="s">
        <v>3944</v>
      </c>
      <c r="J115" t="s">
        <v>3945</v>
      </c>
      <c r="K115" t="s">
        <v>74</v>
      </c>
      <c r="L115" t="s">
        <v>74</v>
      </c>
      <c r="M115" t="s">
        <v>1517</v>
      </c>
      <c r="N115" t="s">
        <v>79</v>
      </c>
      <c r="O115" t="s">
        <v>74</v>
      </c>
      <c r="P115" t="s">
        <v>74</v>
      </c>
      <c r="Q115" t="s">
        <v>74</v>
      </c>
      <c r="R115" t="s">
        <v>74</v>
      </c>
      <c r="S115" t="s">
        <v>74</v>
      </c>
      <c r="T115" t="s">
        <v>3946</v>
      </c>
      <c r="U115" t="s">
        <v>3947</v>
      </c>
      <c r="V115" t="s">
        <v>3948</v>
      </c>
      <c r="W115" s="1" t="s">
        <v>3949</v>
      </c>
      <c r="X115" t="s">
        <v>3950</v>
      </c>
      <c r="Y115" t="s">
        <v>3951</v>
      </c>
      <c r="Z115" t="s">
        <v>3952</v>
      </c>
      <c r="AA115" t="s">
        <v>74</v>
      </c>
      <c r="AB115" t="s">
        <v>74</v>
      </c>
      <c r="AC115" t="s">
        <v>74</v>
      </c>
      <c r="AD115" t="s">
        <v>74</v>
      </c>
      <c r="AE115" t="s">
        <v>74</v>
      </c>
      <c r="AF115" t="s">
        <v>3953</v>
      </c>
      <c r="AG115">
        <v>28</v>
      </c>
      <c r="AH115">
        <v>0</v>
      </c>
      <c r="AI115">
        <v>0</v>
      </c>
      <c r="AJ115">
        <v>0</v>
      </c>
      <c r="AK115">
        <v>1</v>
      </c>
      <c r="AL115" t="s">
        <v>1993</v>
      </c>
      <c r="AM115" t="s">
        <v>1994</v>
      </c>
      <c r="AN115" t="s">
        <v>1995</v>
      </c>
      <c r="AO115" t="s">
        <v>3954</v>
      </c>
      <c r="AP115" t="s">
        <v>3955</v>
      </c>
      <c r="AQ115" t="s">
        <v>74</v>
      </c>
      <c r="AR115" t="s">
        <v>3945</v>
      </c>
      <c r="AS115" t="s">
        <v>3956</v>
      </c>
      <c r="AT115" t="s">
        <v>2778</v>
      </c>
      <c r="AU115">
        <v>2022</v>
      </c>
      <c r="AV115">
        <v>19</v>
      </c>
      <c r="AW115">
        <v>1</v>
      </c>
      <c r="AX115" t="s">
        <v>74</v>
      </c>
      <c r="AY115" t="s">
        <v>74</v>
      </c>
      <c r="AZ115" t="s">
        <v>74</v>
      </c>
      <c r="BA115" t="s">
        <v>74</v>
      </c>
      <c r="BB115">
        <v>106</v>
      </c>
      <c r="BC115">
        <v>115</v>
      </c>
      <c r="BD115" t="s">
        <v>74</v>
      </c>
      <c r="BE115" t="s">
        <v>3957</v>
      </c>
      <c r="BF115" t="str">
        <f>HYPERLINK("http://dx.doi.org/10.21676/2389783X.4690","http://dx.doi.org/10.21676/2389783X.4690")</f>
        <v>http://dx.doi.org/10.21676/2389783X.4690</v>
      </c>
      <c r="BG115" t="s">
        <v>74</v>
      </c>
      <c r="BH115" t="s">
        <v>74</v>
      </c>
      <c r="BI115">
        <v>10</v>
      </c>
      <c r="BJ115" t="s">
        <v>3958</v>
      </c>
      <c r="BK115" t="s">
        <v>187</v>
      </c>
      <c r="BL115" t="s">
        <v>3959</v>
      </c>
      <c r="BM115" t="s">
        <v>3960</v>
      </c>
      <c r="BN115" t="s">
        <v>74</v>
      </c>
      <c r="BO115" t="s">
        <v>190</v>
      </c>
      <c r="BP115" t="s">
        <v>74</v>
      </c>
      <c r="BQ115" t="s">
        <v>74</v>
      </c>
      <c r="BR115" t="s">
        <v>105</v>
      </c>
      <c r="BS115" t="s">
        <v>3961</v>
      </c>
      <c r="BT115" t="str">
        <f>HYPERLINK("https%3A%2F%2Fwww.webofscience.com%2Fwos%2Fwoscc%2Ffull-record%2FWOS:000829170900004","View Full Record in Web of Science")</f>
        <v>View Full Record in Web of Science</v>
      </c>
    </row>
    <row r="116" spans="1:72" x14ac:dyDescent="0.2">
      <c r="A116" t="s">
        <v>72</v>
      </c>
      <c r="B116" t="s">
        <v>6164</v>
      </c>
      <c r="C116" t="s">
        <v>74</v>
      </c>
      <c r="D116" t="s">
        <v>74</v>
      </c>
      <c r="E116" t="s">
        <v>74</v>
      </c>
      <c r="F116" t="s">
        <v>6165</v>
      </c>
      <c r="G116" t="s">
        <v>74</v>
      </c>
      <c r="H116" t="s">
        <v>74</v>
      </c>
      <c r="I116" t="s">
        <v>6166</v>
      </c>
      <c r="J116" t="s">
        <v>6167</v>
      </c>
      <c r="K116" t="s">
        <v>74</v>
      </c>
      <c r="L116" t="s">
        <v>74</v>
      </c>
      <c r="M116" t="s">
        <v>78</v>
      </c>
      <c r="N116" t="s">
        <v>79</v>
      </c>
      <c r="O116" t="s">
        <v>74</v>
      </c>
      <c r="P116" t="s">
        <v>74</v>
      </c>
      <c r="Q116" t="s">
        <v>74</v>
      </c>
      <c r="R116" t="s">
        <v>74</v>
      </c>
      <c r="S116" t="s">
        <v>74</v>
      </c>
      <c r="T116" t="s">
        <v>6168</v>
      </c>
      <c r="U116" t="s">
        <v>6169</v>
      </c>
      <c r="V116" t="s">
        <v>6170</v>
      </c>
      <c r="W116" s="1" t="s">
        <v>6171</v>
      </c>
      <c r="X116" t="s">
        <v>6172</v>
      </c>
      <c r="Y116" t="s">
        <v>6173</v>
      </c>
      <c r="Z116" t="s">
        <v>6174</v>
      </c>
      <c r="AA116" t="s">
        <v>6175</v>
      </c>
      <c r="AB116" t="s">
        <v>6176</v>
      </c>
      <c r="AC116" t="s">
        <v>6177</v>
      </c>
      <c r="AD116" t="s">
        <v>6178</v>
      </c>
      <c r="AE116" t="s">
        <v>6179</v>
      </c>
      <c r="AF116" t="s">
        <v>6180</v>
      </c>
      <c r="AG116">
        <v>79</v>
      </c>
      <c r="AH116">
        <v>4</v>
      </c>
      <c r="AI116">
        <v>4</v>
      </c>
      <c r="AJ116">
        <v>8</v>
      </c>
      <c r="AK116">
        <v>17</v>
      </c>
      <c r="AL116" t="s">
        <v>93</v>
      </c>
      <c r="AM116" t="s">
        <v>94</v>
      </c>
      <c r="AN116" t="s">
        <v>95</v>
      </c>
      <c r="AO116" t="s">
        <v>74</v>
      </c>
      <c r="AP116" t="s">
        <v>6181</v>
      </c>
      <c r="AQ116" t="s">
        <v>74</v>
      </c>
      <c r="AR116" t="s">
        <v>6182</v>
      </c>
      <c r="AS116" t="s">
        <v>6183</v>
      </c>
      <c r="AT116" t="s">
        <v>268</v>
      </c>
      <c r="AU116">
        <v>2022</v>
      </c>
      <c r="AV116">
        <v>5</v>
      </c>
      <c r="AW116">
        <v>2</v>
      </c>
      <c r="AX116" t="s">
        <v>74</v>
      </c>
      <c r="AY116" t="s">
        <v>74</v>
      </c>
      <c r="AZ116" t="s">
        <v>74</v>
      </c>
      <c r="BA116" t="s">
        <v>74</v>
      </c>
      <c r="BB116" t="s">
        <v>74</v>
      </c>
      <c r="BC116" t="s">
        <v>74</v>
      </c>
      <c r="BD116">
        <v>32</v>
      </c>
      <c r="BE116" t="s">
        <v>6184</v>
      </c>
      <c r="BF116" t="str">
        <f>HYPERLINK("http://dx.doi.org/10.3390/asi5020032","http://dx.doi.org/10.3390/asi5020032")</f>
        <v>http://dx.doi.org/10.3390/asi5020032</v>
      </c>
      <c r="BG116" t="s">
        <v>74</v>
      </c>
      <c r="BH116" t="s">
        <v>74</v>
      </c>
      <c r="BI116">
        <v>19</v>
      </c>
      <c r="BJ116" t="s">
        <v>6185</v>
      </c>
      <c r="BK116" t="s">
        <v>187</v>
      </c>
      <c r="BL116" t="s">
        <v>6186</v>
      </c>
      <c r="BM116" t="s">
        <v>6187</v>
      </c>
      <c r="BN116" t="s">
        <v>74</v>
      </c>
      <c r="BO116" t="s">
        <v>190</v>
      </c>
      <c r="BP116" t="s">
        <v>74</v>
      </c>
      <c r="BQ116" t="s">
        <v>74</v>
      </c>
      <c r="BR116" t="s">
        <v>105</v>
      </c>
      <c r="BS116" t="s">
        <v>6188</v>
      </c>
      <c r="BT116" t="str">
        <f>HYPERLINK("https%3A%2F%2Fwww.webofscience.com%2Fwos%2Fwoscc%2Ffull-record%2FWOS:000785664100001","View Full Record in Web of Science")</f>
        <v>View Full Record in Web of Science</v>
      </c>
    </row>
    <row r="117" spans="1:72" x14ac:dyDescent="0.2">
      <c r="A117" t="s">
        <v>72</v>
      </c>
      <c r="B117" t="s">
        <v>2182</v>
      </c>
      <c r="C117" t="s">
        <v>74</v>
      </c>
      <c r="D117" t="s">
        <v>74</v>
      </c>
      <c r="E117" t="s">
        <v>74</v>
      </c>
      <c r="F117" t="s">
        <v>2183</v>
      </c>
      <c r="G117" t="s">
        <v>74</v>
      </c>
      <c r="H117" t="s">
        <v>74</v>
      </c>
      <c r="I117" t="s">
        <v>2184</v>
      </c>
      <c r="J117" t="s">
        <v>2185</v>
      </c>
      <c r="K117" t="s">
        <v>74</v>
      </c>
      <c r="L117" t="s">
        <v>74</v>
      </c>
      <c r="M117" t="s">
        <v>1517</v>
      </c>
      <c r="N117" t="s">
        <v>79</v>
      </c>
      <c r="O117" t="s">
        <v>74</v>
      </c>
      <c r="P117" t="s">
        <v>74</v>
      </c>
      <c r="Q117" t="s">
        <v>74</v>
      </c>
      <c r="R117" t="s">
        <v>74</v>
      </c>
      <c r="S117" t="s">
        <v>74</v>
      </c>
      <c r="T117" t="s">
        <v>2186</v>
      </c>
      <c r="U117" t="s">
        <v>2187</v>
      </c>
      <c r="V117" t="s">
        <v>74</v>
      </c>
      <c r="W117" s="1" t="s">
        <v>2188</v>
      </c>
      <c r="X117" t="s">
        <v>84</v>
      </c>
      <c r="Y117" t="s">
        <v>2189</v>
      </c>
      <c r="Z117" t="s">
        <v>2190</v>
      </c>
      <c r="AA117" t="s">
        <v>74</v>
      </c>
      <c r="AB117" t="s">
        <v>74</v>
      </c>
      <c r="AC117" t="s">
        <v>74</v>
      </c>
      <c r="AD117" t="s">
        <v>74</v>
      </c>
      <c r="AE117" t="s">
        <v>74</v>
      </c>
      <c r="AF117" t="s">
        <v>2191</v>
      </c>
      <c r="AG117">
        <v>60</v>
      </c>
      <c r="AH117">
        <v>0</v>
      </c>
      <c r="AI117">
        <v>0</v>
      </c>
      <c r="AJ117">
        <v>1</v>
      </c>
      <c r="AK117">
        <v>3</v>
      </c>
      <c r="AL117" t="s">
        <v>2192</v>
      </c>
      <c r="AM117" t="s">
        <v>2193</v>
      </c>
      <c r="AN117" t="s">
        <v>2194</v>
      </c>
      <c r="AO117" t="s">
        <v>2195</v>
      </c>
      <c r="AP117" t="s">
        <v>2196</v>
      </c>
      <c r="AQ117" t="s">
        <v>74</v>
      </c>
      <c r="AR117" t="s">
        <v>2197</v>
      </c>
      <c r="AS117" t="s">
        <v>2198</v>
      </c>
      <c r="AT117" t="s">
        <v>74</v>
      </c>
      <c r="AU117">
        <v>2022</v>
      </c>
      <c r="AV117">
        <v>40</v>
      </c>
      <c r="AW117">
        <v>1</v>
      </c>
      <c r="AX117" t="s">
        <v>74</v>
      </c>
      <c r="AY117" t="s">
        <v>74</v>
      </c>
      <c r="AZ117" t="s">
        <v>74</v>
      </c>
      <c r="BA117" t="s">
        <v>74</v>
      </c>
      <c r="BB117">
        <v>401</v>
      </c>
      <c r="BC117">
        <v>432</v>
      </c>
      <c r="BD117" t="s">
        <v>74</v>
      </c>
      <c r="BE117" t="s">
        <v>2199</v>
      </c>
      <c r="BF117" t="str">
        <f>HYPERLINK("http://dx.doi.org/10.18800/psico.202201.013","http://dx.doi.org/10.18800/psico.202201.013")</f>
        <v>http://dx.doi.org/10.18800/psico.202201.013</v>
      </c>
      <c r="BG117" t="s">
        <v>74</v>
      </c>
      <c r="BH117" t="s">
        <v>74</v>
      </c>
      <c r="BI117">
        <v>32</v>
      </c>
      <c r="BJ117" t="s">
        <v>2200</v>
      </c>
      <c r="BK117" t="s">
        <v>187</v>
      </c>
      <c r="BL117" t="s">
        <v>2201</v>
      </c>
      <c r="BM117" t="s">
        <v>2202</v>
      </c>
      <c r="BN117" t="s">
        <v>74</v>
      </c>
      <c r="BO117" t="s">
        <v>1111</v>
      </c>
      <c r="BP117" t="s">
        <v>74</v>
      </c>
      <c r="BQ117" t="s">
        <v>74</v>
      </c>
      <c r="BR117" t="s">
        <v>105</v>
      </c>
      <c r="BS117" t="s">
        <v>2203</v>
      </c>
      <c r="BT117" t="str">
        <f>HYPERLINK("https%3A%2F%2Fwww.webofscience.com%2Fwos%2Fwoscc%2Ffull-record%2FWOS:000731882000014","View Full Record in Web of Science")</f>
        <v>View Full Record in Web of Science</v>
      </c>
    </row>
    <row r="118" spans="1:72" x14ac:dyDescent="0.2">
      <c r="A118" t="s">
        <v>72</v>
      </c>
      <c r="B118" t="s">
        <v>1140</v>
      </c>
      <c r="C118" t="s">
        <v>74</v>
      </c>
      <c r="D118" t="s">
        <v>74</v>
      </c>
      <c r="E118" t="s">
        <v>74</v>
      </c>
      <c r="F118" t="s">
        <v>1141</v>
      </c>
      <c r="G118" t="s">
        <v>74</v>
      </c>
      <c r="H118" t="s">
        <v>74</v>
      </c>
      <c r="I118" t="s">
        <v>1142</v>
      </c>
      <c r="J118" t="s">
        <v>1143</v>
      </c>
      <c r="K118" t="s">
        <v>74</v>
      </c>
      <c r="L118" t="s">
        <v>74</v>
      </c>
      <c r="M118" t="s">
        <v>78</v>
      </c>
      <c r="N118" t="s">
        <v>79</v>
      </c>
      <c r="O118" t="s">
        <v>74</v>
      </c>
      <c r="P118" t="s">
        <v>74</v>
      </c>
      <c r="Q118" t="s">
        <v>74</v>
      </c>
      <c r="R118" t="s">
        <v>74</v>
      </c>
      <c r="S118" t="s">
        <v>74</v>
      </c>
      <c r="T118" t="s">
        <v>1144</v>
      </c>
      <c r="U118" t="s">
        <v>1145</v>
      </c>
      <c r="V118" t="s">
        <v>1146</v>
      </c>
      <c r="W118" s="1" t="s">
        <v>1147</v>
      </c>
      <c r="X118" t="s">
        <v>1148</v>
      </c>
      <c r="Y118" t="s">
        <v>1149</v>
      </c>
      <c r="Z118" t="s">
        <v>1150</v>
      </c>
      <c r="AA118" t="s">
        <v>74</v>
      </c>
      <c r="AB118" t="s">
        <v>1151</v>
      </c>
      <c r="AC118" t="s">
        <v>1152</v>
      </c>
      <c r="AD118" t="s">
        <v>1152</v>
      </c>
      <c r="AE118" t="s">
        <v>1153</v>
      </c>
      <c r="AF118" t="s">
        <v>1154</v>
      </c>
      <c r="AG118">
        <v>39</v>
      </c>
      <c r="AH118">
        <v>0</v>
      </c>
      <c r="AI118">
        <v>0</v>
      </c>
      <c r="AJ118">
        <v>7</v>
      </c>
      <c r="AK118">
        <v>7</v>
      </c>
      <c r="AL118" t="s">
        <v>1155</v>
      </c>
      <c r="AM118" t="s">
        <v>1156</v>
      </c>
      <c r="AN118" t="s">
        <v>1157</v>
      </c>
      <c r="AO118" t="s">
        <v>1158</v>
      </c>
      <c r="AP118" t="s">
        <v>1159</v>
      </c>
      <c r="AQ118" t="s">
        <v>74</v>
      </c>
      <c r="AR118" t="s">
        <v>1160</v>
      </c>
      <c r="AS118" t="s">
        <v>1161</v>
      </c>
      <c r="AT118" t="s">
        <v>1162</v>
      </c>
      <c r="AU118">
        <v>2023</v>
      </c>
      <c r="AV118">
        <v>94</v>
      </c>
      <c r="AW118">
        <v>3</v>
      </c>
      <c r="AX118" t="s">
        <v>74</v>
      </c>
      <c r="AY118" t="s">
        <v>74</v>
      </c>
      <c r="AZ118" t="s">
        <v>74</v>
      </c>
      <c r="BA118" t="s">
        <v>74</v>
      </c>
      <c r="BB118" t="s">
        <v>74</v>
      </c>
      <c r="BC118" t="s">
        <v>74</v>
      </c>
      <c r="BD118" t="s">
        <v>74</v>
      </c>
      <c r="BE118" t="s">
        <v>1163</v>
      </c>
      <c r="BF118" t="str">
        <f>HYPERLINK("http://dx.doi.org/10.1002/srin.202200686","http://dx.doi.org/10.1002/srin.202200686")</f>
        <v>http://dx.doi.org/10.1002/srin.202200686</v>
      </c>
      <c r="BG118" t="s">
        <v>74</v>
      </c>
      <c r="BH118" t="s">
        <v>1164</v>
      </c>
      <c r="BI118">
        <v>9</v>
      </c>
      <c r="BJ118" t="s">
        <v>736</v>
      </c>
      <c r="BK118" t="s">
        <v>102</v>
      </c>
      <c r="BL118" t="s">
        <v>736</v>
      </c>
      <c r="BM118" t="s">
        <v>1165</v>
      </c>
      <c r="BN118" t="s">
        <v>74</v>
      </c>
      <c r="BO118" t="s">
        <v>74</v>
      </c>
      <c r="BP118" t="s">
        <v>74</v>
      </c>
      <c r="BQ118" t="s">
        <v>74</v>
      </c>
      <c r="BR118" t="s">
        <v>105</v>
      </c>
      <c r="BS118" t="s">
        <v>1166</v>
      </c>
      <c r="BT118" t="str">
        <f>HYPERLINK("https%3A%2F%2Fwww.webofscience.com%2Fwos%2Fwoscc%2Ffull-record%2FWOS:000884302500001","View Full Record in Web of Science")</f>
        <v>View Full Record in Web of Science</v>
      </c>
    </row>
    <row r="119" spans="1:72" x14ac:dyDescent="0.2">
      <c r="A119" t="s">
        <v>72</v>
      </c>
      <c r="B119" t="s">
        <v>4137</v>
      </c>
      <c r="C119" t="s">
        <v>74</v>
      </c>
      <c r="D119" t="s">
        <v>74</v>
      </c>
      <c r="E119" t="s">
        <v>74</v>
      </c>
      <c r="F119" t="s">
        <v>4138</v>
      </c>
      <c r="G119" t="s">
        <v>74</v>
      </c>
      <c r="H119" t="s">
        <v>74</v>
      </c>
      <c r="I119" t="s">
        <v>4139</v>
      </c>
      <c r="J119" t="s">
        <v>4140</v>
      </c>
      <c r="K119" t="s">
        <v>74</v>
      </c>
      <c r="L119" t="s">
        <v>74</v>
      </c>
      <c r="M119" t="s">
        <v>78</v>
      </c>
      <c r="N119" t="s">
        <v>79</v>
      </c>
      <c r="O119" t="s">
        <v>74</v>
      </c>
      <c r="P119" t="s">
        <v>74</v>
      </c>
      <c r="Q119" t="s">
        <v>74</v>
      </c>
      <c r="R119" t="s">
        <v>74</v>
      </c>
      <c r="S119" t="s">
        <v>74</v>
      </c>
      <c r="T119" t="s">
        <v>4141</v>
      </c>
      <c r="U119" t="s">
        <v>4142</v>
      </c>
      <c r="V119" t="s">
        <v>4143</v>
      </c>
      <c r="W119" s="1" t="s">
        <v>4144</v>
      </c>
      <c r="X119" t="s">
        <v>4145</v>
      </c>
      <c r="Y119" t="s">
        <v>4146</v>
      </c>
      <c r="Z119" t="s">
        <v>4147</v>
      </c>
      <c r="AA119" t="s">
        <v>4148</v>
      </c>
      <c r="AB119" t="s">
        <v>4149</v>
      </c>
      <c r="AC119" t="s">
        <v>4150</v>
      </c>
      <c r="AD119" t="s">
        <v>4150</v>
      </c>
      <c r="AE119" t="s">
        <v>4151</v>
      </c>
      <c r="AF119" t="s">
        <v>4152</v>
      </c>
      <c r="AG119">
        <v>83</v>
      </c>
      <c r="AH119">
        <v>0</v>
      </c>
      <c r="AI119">
        <v>0</v>
      </c>
      <c r="AJ119">
        <v>1</v>
      </c>
      <c r="AK119">
        <v>1</v>
      </c>
      <c r="AL119" t="s">
        <v>4153</v>
      </c>
      <c r="AM119" t="s">
        <v>4154</v>
      </c>
      <c r="AN119" t="s">
        <v>4155</v>
      </c>
      <c r="AO119" t="s">
        <v>4156</v>
      </c>
      <c r="AP119" t="s">
        <v>4157</v>
      </c>
      <c r="AQ119" t="s">
        <v>74</v>
      </c>
      <c r="AR119" t="s">
        <v>4158</v>
      </c>
      <c r="AS119" t="s">
        <v>4159</v>
      </c>
      <c r="AT119" t="s">
        <v>1753</v>
      </c>
      <c r="AU119">
        <v>2022</v>
      </c>
      <c r="AV119">
        <v>78</v>
      </c>
      <c r="AW119">
        <v>10</v>
      </c>
      <c r="AX119" t="s">
        <v>74</v>
      </c>
      <c r="AY119" t="s">
        <v>74</v>
      </c>
      <c r="AZ119" t="s">
        <v>74</v>
      </c>
      <c r="BA119" t="s">
        <v>74</v>
      </c>
      <c r="BB119">
        <v>1034</v>
      </c>
      <c r="BC119">
        <v>1045</v>
      </c>
      <c r="BD119" t="s">
        <v>74</v>
      </c>
      <c r="BE119" t="s">
        <v>4160</v>
      </c>
      <c r="BF119" t="str">
        <f>HYPERLINK("http://dx.doi.org/10.5006/3964","http://dx.doi.org/10.5006/3964")</f>
        <v>http://dx.doi.org/10.5006/3964</v>
      </c>
      <c r="BG119" t="s">
        <v>74</v>
      </c>
      <c r="BH119" t="s">
        <v>74</v>
      </c>
      <c r="BI119">
        <v>12</v>
      </c>
      <c r="BJ119" t="s">
        <v>4161</v>
      </c>
      <c r="BK119" t="s">
        <v>102</v>
      </c>
      <c r="BL119" t="s">
        <v>503</v>
      </c>
      <c r="BM119" t="s">
        <v>4162</v>
      </c>
      <c r="BN119" t="s">
        <v>74</v>
      </c>
      <c r="BO119" t="s">
        <v>74</v>
      </c>
      <c r="BP119" t="s">
        <v>74</v>
      </c>
      <c r="BQ119" t="s">
        <v>74</v>
      </c>
      <c r="BR119" t="s">
        <v>105</v>
      </c>
      <c r="BS119" t="s">
        <v>4163</v>
      </c>
      <c r="BT119" t="str">
        <f>HYPERLINK("https%3A%2F%2Fwww.webofscience.com%2Fwos%2Fwoscc%2Ffull-record%2FWOS:000928999300001","View Full Record in Web of Science")</f>
        <v>View Full Record in Web of Science</v>
      </c>
    </row>
    <row r="120" spans="1:72" x14ac:dyDescent="0.2">
      <c r="A120" t="s">
        <v>72</v>
      </c>
      <c r="B120" t="s">
        <v>764</v>
      </c>
      <c r="C120" t="s">
        <v>74</v>
      </c>
      <c r="D120" t="s">
        <v>74</v>
      </c>
      <c r="E120" t="s">
        <v>74</v>
      </c>
      <c r="F120" t="s">
        <v>765</v>
      </c>
      <c r="G120" t="s">
        <v>74</v>
      </c>
      <c r="H120" t="s">
        <v>74</v>
      </c>
      <c r="I120" t="s">
        <v>766</v>
      </c>
      <c r="J120" t="s">
        <v>767</v>
      </c>
      <c r="K120" t="s">
        <v>74</v>
      </c>
      <c r="L120" t="s">
        <v>74</v>
      </c>
      <c r="M120" t="s">
        <v>78</v>
      </c>
      <c r="N120" t="s">
        <v>79</v>
      </c>
      <c r="O120" t="s">
        <v>74</v>
      </c>
      <c r="P120" t="s">
        <v>74</v>
      </c>
      <c r="Q120" t="s">
        <v>74</v>
      </c>
      <c r="R120" t="s">
        <v>74</v>
      </c>
      <c r="S120" t="s">
        <v>74</v>
      </c>
      <c r="T120" t="s">
        <v>768</v>
      </c>
      <c r="U120" t="s">
        <v>769</v>
      </c>
      <c r="V120" t="s">
        <v>770</v>
      </c>
      <c r="W120" s="1" t="s">
        <v>771</v>
      </c>
      <c r="X120" t="s">
        <v>772</v>
      </c>
      <c r="Y120" t="s">
        <v>773</v>
      </c>
      <c r="Z120" t="s">
        <v>774</v>
      </c>
      <c r="AA120" t="s">
        <v>74</v>
      </c>
      <c r="AB120" t="s">
        <v>74</v>
      </c>
      <c r="AC120" t="s">
        <v>775</v>
      </c>
      <c r="AD120" t="s">
        <v>775</v>
      </c>
      <c r="AE120" t="s">
        <v>776</v>
      </c>
      <c r="AF120" t="s">
        <v>777</v>
      </c>
      <c r="AG120">
        <v>27</v>
      </c>
      <c r="AH120">
        <v>0</v>
      </c>
      <c r="AI120">
        <v>0</v>
      </c>
      <c r="AJ120">
        <v>0</v>
      </c>
      <c r="AK120">
        <v>0</v>
      </c>
      <c r="AL120" t="s">
        <v>778</v>
      </c>
      <c r="AM120" t="s">
        <v>779</v>
      </c>
      <c r="AN120" t="s">
        <v>780</v>
      </c>
      <c r="AO120" t="s">
        <v>781</v>
      </c>
      <c r="AP120" t="s">
        <v>782</v>
      </c>
      <c r="AQ120" t="s">
        <v>74</v>
      </c>
      <c r="AR120" t="s">
        <v>783</v>
      </c>
      <c r="AS120" t="s">
        <v>784</v>
      </c>
      <c r="AT120" t="s">
        <v>74</v>
      </c>
      <c r="AU120">
        <v>2023</v>
      </c>
      <c r="AV120">
        <v>58</v>
      </c>
      <c r="AW120" t="s">
        <v>74</v>
      </c>
      <c r="AX120" t="s">
        <v>74</v>
      </c>
      <c r="AY120" t="s">
        <v>74</v>
      </c>
      <c r="AZ120" t="s">
        <v>74</v>
      </c>
      <c r="BA120" t="s">
        <v>74</v>
      </c>
      <c r="BB120" t="s">
        <v>74</v>
      </c>
      <c r="BC120" t="s">
        <v>74</v>
      </c>
      <c r="BD120" t="s">
        <v>785</v>
      </c>
      <c r="BE120" t="s">
        <v>786</v>
      </c>
      <c r="BF120" t="str">
        <f>HYPERLINK("http://dx.doi.org/10.1590/S1678-3921.pab2023.v58.03062","http://dx.doi.org/10.1590/S1678-3921.pab2023.v58.03062")</f>
        <v>http://dx.doi.org/10.1590/S1678-3921.pab2023.v58.03062</v>
      </c>
      <c r="BG120" t="s">
        <v>74</v>
      </c>
      <c r="BH120" t="s">
        <v>74</v>
      </c>
      <c r="BI120">
        <v>9</v>
      </c>
      <c r="BJ120" t="s">
        <v>787</v>
      </c>
      <c r="BK120" t="s">
        <v>102</v>
      </c>
      <c r="BL120" t="s">
        <v>160</v>
      </c>
      <c r="BM120" t="s">
        <v>788</v>
      </c>
      <c r="BN120" t="s">
        <v>74</v>
      </c>
      <c r="BO120" t="s">
        <v>74</v>
      </c>
      <c r="BP120" t="s">
        <v>74</v>
      </c>
      <c r="BQ120" t="s">
        <v>74</v>
      </c>
      <c r="BR120" t="s">
        <v>105</v>
      </c>
      <c r="BS120" t="s">
        <v>789</v>
      </c>
      <c r="BT120" t="str">
        <f>HYPERLINK("https%3A%2F%2Fwww.webofscience.com%2Fwos%2Fwoscc%2Ffull-record%2FWOS:000954040600001","View Full Record in Web of Science")</f>
        <v>View Full Record in Web of Science</v>
      </c>
    </row>
    <row r="121" spans="1:72" x14ac:dyDescent="0.2">
      <c r="A121" t="s">
        <v>72</v>
      </c>
      <c r="B121" t="s">
        <v>1639</v>
      </c>
      <c r="C121" t="s">
        <v>74</v>
      </c>
      <c r="D121" t="s">
        <v>74</v>
      </c>
      <c r="E121" t="s">
        <v>74</v>
      </c>
      <c r="F121" t="s">
        <v>1640</v>
      </c>
      <c r="G121" t="s">
        <v>74</v>
      </c>
      <c r="H121" t="s">
        <v>74</v>
      </c>
      <c r="I121" t="s">
        <v>1641</v>
      </c>
      <c r="J121" t="s">
        <v>1642</v>
      </c>
      <c r="K121" t="s">
        <v>74</v>
      </c>
      <c r="L121" t="s">
        <v>74</v>
      </c>
      <c r="M121" t="s">
        <v>78</v>
      </c>
      <c r="N121" t="s">
        <v>79</v>
      </c>
      <c r="O121" t="s">
        <v>74</v>
      </c>
      <c r="P121" t="s">
        <v>74</v>
      </c>
      <c r="Q121" t="s">
        <v>74</v>
      </c>
      <c r="R121" t="s">
        <v>74</v>
      </c>
      <c r="S121" t="s">
        <v>74</v>
      </c>
      <c r="T121" t="s">
        <v>1643</v>
      </c>
      <c r="U121" t="s">
        <v>1644</v>
      </c>
      <c r="V121" t="s">
        <v>1645</v>
      </c>
      <c r="W121" s="1" t="s">
        <v>1646</v>
      </c>
      <c r="X121" t="s">
        <v>1647</v>
      </c>
      <c r="Y121" t="s">
        <v>1648</v>
      </c>
      <c r="Z121" t="s">
        <v>540</v>
      </c>
      <c r="AA121" t="s">
        <v>74</v>
      </c>
      <c r="AB121" t="s">
        <v>74</v>
      </c>
      <c r="AC121" t="s">
        <v>1649</v>
      </c>
      <c r="AD121" t="s">
        <v>1650</v>
      </c>
      <c r="AE121" t="s">
        <v>1651</v>
      </c>
      <c r="AF121" t="s">
        <v>1652</v>
      </c>
      <c r="AG121">
        <v>40</v>
      </c>
      <c r="AH121">
        <v>1</v>
      </c>
      <c r="AI121">
        <v>1</v>
      </c>
      <c r="AJ121">
        <v>2</v>
      </c>
      <c r="AK121">
        <v>4</v>
      </c>
      <c r="AL121" t="s">
        <v>150</v>
      </c>
      <c r="AM121" t="s">
        <v>1653</v>
      </c>
      <c r="AN121" t="s">
        <v>1654</v>
      </c>
      <c r="AO121" t="s">
        <v>1655</v>
      </c>
      <c r="AP121" t="s">
        <v>1656</v>
      </c>
      <c r="AQ121" t="s">
        <v>74</v>
      </c>
      <c r="AR121" t="s">
        <v>1657</v>
      </c>
      <c r="AS121" t="s">
        <v>1658</v>
      </c>
      <c r="AT121" t="s">
        <v>476</v>
      </c>
      <c r="AU121">
        <v>2022</v>
      </c>
      <c r="AV121">
        <v>150</v>
      </c>
      <c r="AW121">
        <v>3</v>
      </c>
      <c r="AX121" t="s">
        <v>74</v>
      </c>
      <c r="AY121" t="s">
        <v>74</v>
      </c>
      <c r="AZ121" t="s">
        <v>74</v>
      </c>
      <c r="BA121" t="s">
        <v>74</v>
      </c>
      <c r="BB121">
        <v>627</v>
      </c>
      <c r="BC121">
        <v>636</v>
      </c>
      <c r="BD121" t="s">
        <v>74</v>
      </c>
      <c r="BE121" t="s">
        <v>1659</v>
      </c>
      <c r="BF121" t="str">
        <f>HYPERLINK("http://dx.doi.org/10.1007/s11240-022-02317-1","http://dx.doi.org/10.1007/s11240-022-02317-1")</f>
        <v>http://dx.doi.org/10.1007/s11240-022-02317-1</v>
      </c>
      <c r="BG121" t="s">
        <v>74</v>
      </c>
      <c r="BH121" t="s">
        <v>1660</v>
      </c>
      <c r="BI121">
        <v>10</v>
      </c>
      <c r="BJ121" t="s">
        <v>1661</v>
      </c>
      <c r="BK121" t="s">
        <v>102</v>
      </c>
      <c r="BL121" t="s">
        <v>1661</v>
      </c>
      <c r="BM121" t="s">
        <v>1662</v>
      </c>
      <c r="BN121" t="s">
        <v>74</v>
      </c>
      <c r="BO121" t="s">
        <v>1082</v>
      </c>
      <c r="BP121" t="s">
        <v>74</v>
      </c>
      <c r="BQ121" t="s">
        <v>74</v>
      </c>
      <c r="BR121" t="s">
        <v>105</v>
      </c>
      <c r="BS121" t="s">
        <v>1663</v>
      </c>
      <c r="BT121" t="str">
        <f>HYPERLINK("https%3A%2F%2Fwww.webofscience.com%2Fwos%2Fwoscc%2Ffull-record%2FWOS:000800833700001","View Full Record in Web of Science")</f>
        <v>View Full Record in Web of Science</v>
      </c>
    </row>
    <row r="122" spans="1:72" x14ac:dyDescent="0.2">
      <c r="A122" t="s">
        <v>72</v>
      </c>
      <c r="B122" t="s">
        <v>4077</v>
      </c>
      <c r="C122" t="s">
        <v>74</v>
      </c>
      <c r="D122" t="s">
        <v>74</v>
      </c>
      <c r="E122" t="s">
        <v>74</v>
      </c>
      <c r="F122" t="s">
        <v>4078</v>
      </c>
      <c r="G122" t="s">
        <v>74</v>
      </c>
      <c r="H122" t="s">
        <v>74</v>
      </c>
      <c r="I122" t="s">
        <v>4079</v>
      </c>
      <c r="J122" t="s">
        <v>2326</v>
      </c>
      <c r="K122" t="s">
        <v>74</v>
      </c>
      <c r="L122" t="s">
        <v>74</v>
      </c>
      <c r="M122" t="s">
        <v>78</v>
      </c>
      <c r="N122" t="s">
        <v>79</v>
      </c>
      <c r="O122" t="s">
        <v>74</v>
      </c>
      <c r="P122" t="s">
        <v>74</v>
      </c>
      <c r="Q122" t="s">
        <v>74</v>
      </c>
      <c r="R122" t="s">
        <v>74</v>
      </c>
      <c r="S122" t="s">
        <v>74</v>
      </c>
      <c r="T122" t="s">
        <v>4080</v>
      </c>
      <c r="U122" t="s">
        <v>74</v>
      </c>
      <c r="V122" t="s">
        <v>4081</v>
      </c>
      <c r="W122" s="1" t="s">
        <v>4082</v>
      </c>
      <c r="X122" t="s">
        <v>4083</v>
      </c>
      <c r="Y122" t="s">
        <v>4084</v>
      </c>
      <c r="Z122" t="s">
        <v>4085</v>
      </c>
      <c r="AA122" t="s">
        <v>74</v>
      </c>
      <c r="AB122" t="s">
        <v>4086</v>
      </c>
      <c r="AC122" t="s">
        <v>74</v>
      </c>
      <c r="AD122" t="s">
        <v>74</v>
      </c>
      <c r="AE122" t="s">
        <v>74</v>
      </c>
      <c r="AF122" t="s">
        <v>4087</v>
      </c>
      <c r="AG122">
        <v>27</v>
      </c>
      <c r="AH122">
        <v>0</v>
      </c>
      <c r="AI122">
        <v>0</v>
      </c>
      <c r="AJ122">
        <v>0</v>
      </c>
      <c r="AK122">
        <v>0</v>
      </c>
      <c r="AL122" t="s">
        <v>1930</v>
      </c>
      <c r="AM122" t="s">
        <v>1931</v>
      </c>
      <c r="AN122" t="s">
        <v>1932</v>
      </c>
      <c r="AO122" t="s">
        <v>2333</v>
      </c>
      <c r="AP122" t="s">
        <v>2334</v>
      </c>
      <c r="AQ122" t="s">
        <v>74</v>
      </c>
      <c r="AR122" t="s">
        <v>2335</v>
      </c>
      <c r="AS122" t="s">
        <v>2336</v>
      </c>
      <c r="AT122" t="s">
        <v>74</v>
      </c>
      <c r="AU122">
        <v>2022</v>
      </c>
      <c r="AV122">
        <v>13</v>
      </c>
      <c r="AW122">
        <v>35</v>
      </c>
      <c r="AX122" t="s">
        <v>74</v>
      </c>
      <c r="AY122" t="s">
        <v>74</v>
      </c>
      <c r="AZ122" t="s">
        <v>74</v>
      </c>
      <c r="BA122" t="s">
        <v>74</v>
      </c>
      <c r="BB122" t="s">
        <v>74</v>
      </c>
      <c r="BC122" t="s">
        <v>74</v>
      </c>
      <c r="BD122" t="s">
        <v>4088</v>
      </c>
      <c r="BE122" t="s">
        <v>4089</v>
      </c>
      <c r="BF122" t="str">
        <f>HYPERLINK("http://dx.doi.org/10.19053/22160159.v13.n35.2022.14275","http://dx.doi.org/10.19053/22160159.v13.n35.2022.14275")</f>
        <v>http://dx.doi.org/10.19053/22160159.v13.n35.2022.14275</v>
      </c>
      <c r="BG122" t="s">
        <v>74</v>
      </c>
      <c r="BH122" t="s">
        <v>74</v>
      </c>
      <c r="BI122">
        <v>18</v>
      </c>
      <c r="BJ122" t="s">
        <v>963</v>
      </c>
      <c r="BK122" t="s">
        <v>187</v>
      </c>
      <c r="BL122" t="s">
        <v>963</v>
      </c>
      <c r="BM122" t="s">
        <v>2719</v>
      </c>
      <c r="BN122" t="s">
        <v>74</v>
      </c>
      <c r="BO122" t="s">
        <v>190</v>
      </c>
      <c r="BP122" t="s">
        <v>74</v>
      </c>
      <c r="BQ122" t="s">
        <v>74</v>
      </c>
      <c r="BR122" t="s">
        <v>105</v>
      </c>
      <c r="BS122" t="s">
        <v>4090</v>
      </c>
      <c r="BT122" t="str">
        <f>HYPERLINK("https%3A%2F%2Fwww.webofscience.com%2Fwos%2Fwoscc%2Ffull-record%2FWOS:000986286800006","View Full Record in Web of Science")</f>
        <v>View Full Record in Web of Science</v>
      </c>
    </row>
    <row r="123" spans="1:72" x14ac:dyDescent="0.2">
      <c r="A123" t="s">
        <v>72</v>
      </c>
      <c r="B123" t="s">
        <v>4213</v>
      </c>
      <c r="C123" t="s">
        <v>74</v>
      </c>
      <c r="D123" t="s">
        <v>74</v>
      </c>
      <c r="E123" t="s">
        <v>74</v>
      </c>
      <c r="F123" t="s">
        <v>4214</v>
      </c>
      <c r="G123" t="s">
        <v>74</v>
      </c>
      <c r="H123" t="s">
        <v>74</v>
      </c>
      <c r="I123" t="s">
        <v>4215</v>
      </c>
      <c r="J123" t="s">
        <v>4216</v>
      </c>
      <c r="K123" t="s">
        <v>74</v>
      </c>
      <c r="L123" t="s">
        <v>74</v>
      </c>
      <c r="M123" t="s">
        <v>78</v>
      </c>
      <c r="N123" t="s">
        <v>79</v>
      </c>
      <c r="O123" t="s">
        <v>74</v>
      </c>
      <c r="P123" t="s">
        <v>74</v>
      </c>
      <c r="Q123" t="s">
        <v>74</v>
      </c>
      <c r="R123" t="s">
        <v>74</v>
      </c>
      <c r="S123" t="s">
        <v>74</v>
      </c>
      <c r="T123" t="s">
        <v>4217</v>
      </c>
      <c r="U123" t="s">
        <v>74</v>
      </c>
      <c r="V123" t="s">
        <v>4218</v>
      </c>
      <c r="W123" s="1" t="s">
        <v>4219</v>
      </c>
      <c r="X123" t="s">
        <v>772</v>
      </c>
      <c r="Y123" t="s">
        <v>4220</v>
      </c>
      <c r="Z123" t="s">
        <v>4221</v>
      </c>
      <c r="AA123" t="s">
        <v>431</v>
      </c>
      <c r="AB123" t="s">
        <v>4222</v>
      </c>
      <c r="AC123" t="s">
        <v>4223</v>
      </c>
      <c r="AD123" t="s">
        <v>4224</v>
      </c>
      <c r="AE123" t="s">
        <v>4225</v>
      </c>
      <c r="AF123" t="s">
        <v>4226</v>
      </c>
      <c r="AG123">
        <v>33</v>
      </c>
      <c r="AH123">
        <v>0</v>
      </c>
      <c r="AI123">
        <v>0</v>
      </c>
      <c r="AJ123">
        <v>0</v>
      </c>
      <c r="AK123">
        <v>0</v>
      </c>
      <c r="AL123" t="s">
        <v>93</v>
      </c>
      <c r="AM123" t="s">
        <v>94</v>
      </c>
      <c r="AN123" t="s">
        <v>95</v>
      </c>
      <c r="AO123" t="s">
        <v>74</v>
      </c>
      <c r="AP123" t="s">
        <v>4227</v>
      </c>
      <c r="AQ123" t="s">
        <v>74</v>
      </c>
      <c r="AR123" t="s">
        <v>4216</v>
      </c>
      <c r="AS123" t="s">
        <v>4228</v>
      </c>
      <c r="AT123" t="s">
        <v>242</v>
      </c>
      <c r="AU123">
        <v>2022</v>
      </c>
      <c r="AV123">
        <v>12</v>
      </c>
      <c r="AW123">
        <v>7</v>
      </c>
      <c r="AX123" t="s">
        <v>74</v>
      </c>
      <c r="AY123" t="s">
        <v>74</v>
      </c>
      <c r="AZ123" t="s">
        <v>74</v>
      </c>
      <c r="BA123" t="s">
        <v>74</v>
      </c>
      <c r="BB123" t="s">
        <v>74</v>
      </c>
      <c r="BC123" t="s">
        <v>74</v>
      </c>
      <c r="BD123">
        <v>1582</v>
      </c>
      <c r="BE123" t="s">
        <v>4229</v>
      </c>
      <c r="BF123" t="str">
        <f>HYPERLINK("http://dx.doi.org/10.3390/agronomy12071582","http://dx.doi.org/10.3390/agronomy12071582")</f>
        <v>http://dx.doi.org/10.3390/agronomy12071582</v>
      </c>
      <c r="BG123" t="s">
        <v>74</v>
      </c>
      <c r="BH123" t="s">
        <v>74</v>
      </c>
      <c r="BI123">
        <v>21</v>
      </c>
      <c r="BJ123" t="s">
        <v>2162</v>
      </c>
      <c r="BK123" t="s">
        <v>102</v>
      </c>
      <c r="BL123" t="s">
        <v>2163</v>
      </c>
      <c r="BM123" t="s">
        <v>4230</v>
      </c>
      <c r="BN123" t="s">
        <v>74</v>
      </c>
      <c r="BO123" t="s">
        <v>190</v>
      </c>
      <c r="BP123" t="s">
        <v>74</v>
      </c>
      <c r="BQ123" t="s">
        <v>74</v>
      </c>
      <c r="BR123" t="s">
        <v>105</v>
      </c>
      <c r="BS123" t="s">
        <v>4231</v>
      </c>
      <c r="BT123" t="str">
        <f>HYPERLINK("https%3A%2F%2Fwww.webofscience.com%2Fwos%2Fwoscc%2Ffull-record%2FWOS:000833315100001","View Full Record in Web of Science")</f>
        <v>View Full Record in Web of Science</v>
      </c>
    </row>
    <row r="124" spans="1:72" x14ac:dyDescent="0.2">
      <c r="A124" t="s">
        <v>72</v>
      </c>
      <c r="B124" t="s">
        <v>1865</v>
      </c>
      <c r="C124" t="s">
        <v>74</v>
      </c>
      <c r="D124" t="s">
        <v>74</v>
      </c>
      <c r="E124" t="s">
        <v>74</v>
      </c>
      <c r="F124" t="s">
        <v>1866</v>
      </c>
      <c r="G124" t="s">
        <v>74</v>
      </c>
      <c r="H124" t="s">
        <v>74</v>
      </c>
      <c r="I124" t="s">
        <v>1867</v>
      </c>
      <c r="J124" t="s">
        <v>1667</v>
      </c>
      <c r="K124" t="s">
        <v>74</v>
      </c>
      <c r="L124" t="s">
        <v>74</v>
      </c>
      <c r="M124" t="s">
        <v>78</v>
      </c>
      <c r="N124" t="s">
        <v>79</v>
      </c>
      <c r="O124" t="s">
        <v>74</v>
      </c>
      <c r="P124" t="s">
        <v>74</v>
      </c>
      <c r="Q124" t="s">
        <v>74</v>
      </c>
      <c r="R124" t="s">
        <v>74</v>
      </c>
      <c r="S124" t="s">
        <v>74</v>
      </c>
      <c r="T124" t="s">
        <v>1868</v>
      </c>
      <c r="U124" t="s">
        <v>74</v>
      </c>
      <c r="V124" t="s">
        <v>1869</v>
      </c>
      <c r="W124" s="1" t="s">
        <v>1870</v>
      </c>
      <c r="X124" t="s">
        <v>84</v>
      </c>
      <c r="Y124" t="s">
        <v>1871</v>
      </c>
      <c r="Z124" t="s">
        <v>1872</v>
      </c>
      <c r="AA124" t="s">
        <v>74</v>
      </c>
      <c r="AB124" t="s">
        <v>74</v>
      </c>
      <c r="AC124" t="s">
        <v>74</v>
      </c>
      <c r="AD124" t="s">
        <v>74</v>
      </c>
      <c r="AE124" t="s">
        <v>74</v>
      </c>
      <c r="AF124" t="s">
        <v>1873</v>
      </c>
      <c r="AG124">
        <v>26</v>
      </c>
      <c r="AH124">
        <v>0</v>
      </c>
      <c r="AI124">
        <v>0</v>
      </c>
      <c r="AJ124">
        <v>0</v>
      </c>
      <c r="AK124">
        <v>0</v>
      </c>
      <c r="AL124" t="s">
        <v>1676</v>
      </c>
      <c r="AM124" t="s">
        <v>1677</v>
      </c>
      <c r="AN124" t="s">
        <v>1678</v>
      </c>
      <c r="AO124" t="s">
        <v>1679</v>
      </c>
      <c r="AP124" t="s">
        <v>1680</v>
      </c>
      <c r="AQ124" t="s">
        <v>74</v>
      </c>
      <c r="AR124" t="s">
        <v>1681</v>
      </c>
      <c r="AS124" t="s">
        <v>1682</v>
      </c>
      <c r="AT124" t="s">
        <v>268</v>
      </c>
      <c r="AU124">
        <v>2023</v>
      </c>
      <c r="AV124">
        <v>38</v>
      </c>
      <c r="AW124">
        <v>1</v>
      </c>
      <c r="AX124" t="s">
        <v>74</v>
      </c>
      <c r="AY124" t="s">
        <v>74</v>
      </c>
      <c r="AZ124" t="s">
        <v>74</v>
      </c>
      <c r="BA124" t="s">
        <v>74</v>
      </c>
      <c r="BB124">
        <v>90</v>
      </c>
      <c r="BC124">
        <v>103</v>
      </c>
      <c r="BD124" t="s">
        <v>74</v>
      </c>
      <c r="BE124" t="s">
        <v>1874</v>
      </c>
      <c r="BF124" t="str">
        <f>HYPERLINK("http://dx.doi.org/10.7764/RIC.00054.21","http://dx.doi.org/10.7764/RIC.00054.21")</f>
        <v>http://dx.doi.org/10.7764/RIC.00054.21</v>
      </c>
      <c r="BG124" t="s">
        <v>74</v>
      </c>
      <c r="BH124" t="s">
        <v>1080</v>
      </c>
      <c r="BI124">
        <v>14</v>
      </c>
      <c r="BJ124" t="s">
        <v>1685</v>
      </c>
      <c r="BK124" t="s">
        <v>187</v>
      </c>
      <c r="BL124" t="s">
        <v>1685</v>
      </c>
      <c r="BM124" t="s">
        <v>1875</v>
      </c>
      <c r="BN124" t="s">
        <v>74</v>
      </c>
      <c r="BO124" t="s">
        <v>1191</v>
      </c>
      <c r="BP124" t="s">
        <v>74</v>
      </c>
      <c r="BQ124" t="s">
        <v>74</v>
      </c>
      <c r="BR124" t="s">
        <v>105</v>
      </c>
      <c r="BS124" t="s">
        <v>1876</v>
      </c>
      <c r="BT124" t="str">
        <f>HYPERLINK("https%3A%2F%2Fwww.webofscience.com%2Fwos%2Fwoscc%2Ffull-record%2FWOS:000969277000001","View Full Record in Web of Science")</f>
        <v>View Full Record in Web of Science</v>
      </c>
    </row>
    <row r="125" spans="1:72" x14ac:dyDescent="0.2">
      <c r="A125" t="s">
        <v>72</v>
      </c>
      <c r="B125" t="s">
        <v>5217</v>
      </c>
      <c r="C125" t="s">
        <v>74</v>
      </c>
      <c r="D125" t="s">
        <v>74</v>
      </c>
      <c r="E125" t="s">
        <v>74</v>
      </c>
      <c r="F125" t="s">
        <v>5218</v>
      </c>
      <c r="G125" t="s">
        <v>74</v>
      </c>
      <c r="H125" t="s">
        <v>74</v>
      </c>
      <c r="I125" t="s">
        <v>5219</v>
      </c>
      <c r="J125" t="s">
        <v>5220</v>
      </c>
      <c r="K125" t="s">
        <v>74</v>
      </c>
      <c r="L125" t="s">
        <v>74</v>
      </c>
      <c r="M125" t="s">
        <v>78</v>
      </c>
      <c r="N125" t="s">
        <v>79</v>
      </c>
      <c r="O125" t="s">
        <v>74</v>
      </c>
      <c r="P125" t="s">
        <v>74</v>
      </c>
      <c r="Q125" t="s">
        <v>74</v>
      </c>
      <c r="R125" t="s">
        <v>74</v>
      </c>
      <c r="S125" t="s">
        <v>74</v>
      </c>
      <c r="T125" t="s">
        <v>5221</v>
      </c>
      <c r="U125" t="s">
        <v>5222</v>
      </c>
      <c r="V125" t="s">
        <v>5223</v>
      </c>
      <c r="W125" s="1" t="s">
        <v>5224</v>
      </c>
      <c r="X125" t="s">
        <v>5225</v>
      </c>
      <c r="Y125" t="s">
        <v>5226</v>
      </c>
      <c r="Z125" t="s">
        <v>5227</v>
      </c>
      <c r="AA125" t="s">
        <v>74</v>
      </c>
      <c r="AB125" t="s">
        <v>5228</v>
      </c>
      <c r="AC125" t="s">
        <v>5229</v>
      </c>
      <c r="AD125" t="s">
        <v>5230</v>
      </c>
      <c r="AE125" t="s">
        <v>5231</v>
      </c>
      <c r="AF125" t="s">
        <v>5232</v>
      </c>
      <c r="AG125">
        <v>39</v>
      </c>
      <c r="AH125">
        <v>0</v>
      </c>
      <c r="AI125">
        <v>0</v>
      </c>
      <c r="AJ125">
        <v>0</v>
      </c>
      <c r="AK125">
        <v>1</v>
      </c>
      <c r="AL125" t="s">
        <v>5220</v>
      </c>
      <c r="AM125" t="s">
        <v>5233</v>
      </c>
      <c r="AN125" t="s">
        <v>5234</v>
      </c>
      <c r="AO125" t="s">
        <v>5235</v>
      </c>
      <c r="AP125" t="s">
        <v>5236</v>
      </c>
      <c r="AQ125" t="s">
        <v>74</v>
      </c>
      <c r="AR125" t="s">
        <v>5237</v>
      </c>
      <c r="AS125" t="s">
        <v>5238</v>
      </c>
      <c r="AT125" t="s">
        <v>126</v>
      </c>
      <c r="AU125">
        <v>2022</v>
      </c>
      <c r="AV125">
        <v>15</v>
      </c>
      <c r="AW125">
        <v>6</v>
      </c>
      <c r="AX125" t="s">
        <v>74</v>
      </c>
      <c r="AY125" t="s">
        <v>74</v>
      </c>
      <c r="AZ125" t="s">
        <v>74</v>
      </c>
      <c r="BA125" t="s">
        <v>74</v>
      </c>
      <c r="BB125">
        <v>1550</v>
      </c>
      <c r="BC125">
        <v>1556</v>
      </c>
      <c r="BD125" t="s">
        <v>74</v>
      </c>
      <c r="BE125" t="s">
        <v>5239</v>
      </c>
      <c r="BF125" t="str">
        <f>HYPERLINK("http://dx.doi.org/10.14202/vetworld.2022.1550-1556","http://dx.doi.org/10.14202/vetworld.2022.1550-1556")</f>
        <v>http://dx.doi.org/10.14202/vetworld.2022.1550-1556</v>
      </c>
      <c r="BG125" t="s">
        <v>74</v>
      </c>
      <c r="BH125" t="s">
        <v>74</v>
      </c>
      <c r="BI125">
        <v>7</v>
      </c>
      <c r="BJ125" t="s">
        <v>5240</v>
      </c>
      <c r="BK125" t="s">
        <v>187</v>
      </c>
      <c r="BL125" t="s">
        <v>5241</v>
      </c>
      <c r="BM125" t="s">
        <v>5242</v>
      </c>
      <c r="BN125">
        <v>35993084</v>
      </c>
      <c r="BO125" t="s">
        <v>131</v>
      </c>
      <c r="BP125" t="s">
        <v>74</v>
      </c>
      <c r="BQ125" t="s">
        <v>74</v>
      </c>
      <c r="BR125" t="s">
        <v>105</v>
      </c>
      <c r="BS125" t="s">
        <v>5243</v>
      </c>
      <c r="BT125" t="str">
        <f>HYPERLINK("https%3A%2F%2Fwww.webofscience.com%2Fwos%2Fwoscc%2Ffull-record%2FWOS:000819240100001","View Full Record in Web of Science")</f>
        <v>View Full Record in Web of Science</v>
      </c>
    </row>
    <row r="126" spans="1:72" x14ac:dyDescent="0.2">
      <c r="A126" t="s">
        <v>72</v>
      </c>
      <c r="B126" t="s">
        <v>4299</v>
      </c>
      <c r="C126" t="s">
        <v>74</v>
      </c>
      <c r="D126" t="s">
        <v>74</v>
      </c>
      <c r="E126" t="s">
        <v>74</v>
      </c>
      <c r="F126" t="s">
        <v>4300</v>
      </c>
      <c r="G126" t="s">
        <v>74</v>
      </c>
      <c r="H126" t="s">
        <v>74</v>
      </c>
      <c r="I126" t="s">
        <v>4301</v>
      </c>
      <c r="J126" t="s">
        <v>279</v>
      </c>
      <c r="K126" t="s">
        <v>74</v>
      </c>
      <c r="L126" t="s">
        <v>74</v>
      </c>
      <c r="M126" t="s">
        <v>78</v>
      </c>
      <c r="N126" t="s">
        <v>79</v>
      </c>
      <c r="O126" t="s">
        <v>74</v>
      </c>
      <c r="P126" t="s">
        <v>74</v>
      </c>
      <c r="Q126" t="s">
        <v>74</v>
      </c>
      <c r="R126" t="s">
        <v>74</v>
      </c>
      <c r="S126" t="s">
        <v>74</v>
      </c>
      <c r="T126" t="s">
        <v>4302</v>
      </c>
      <c r="U126" t="s">
        <v>4303</v>
      </c>
      <c r="V126" t="s">
        <v>4304</v>
      </c>
      <c r="W126" s="1" t="s">
        <v>4305</v>
      </c>
      <c r="X126" t="s">
        <v>4306</v>
      </c>
      <c r="Y126" t="s">
        <v>4307</v>
      </c>
      <c r="Z126" t="s">
        <v>4308</v>
      </c>
      <c r="AA126" t="s">
        <v>4309</v>
      </c>
      <c r="AB126" t="s">
        <v>4310</v>
      </c>
      <c r="AC126" t="s">
        <v>4311</v>
      </c>
      <c r="AD126" t="s">
        <v>4311</v>
      </c>
      <c r="AE126" t="s">
        <v>4312</v>
      </c>
      <c r="AF126" t="s">
        <v>4313</v>
      </c>
      <c r="AG126">
        <v>61</v>
      </c>
      <c r="AH126">
        <v>0</v>
      </c>
      <c r="AI126">
        <v>0</v>
      </c>
      <c r="AJ126">
        <v>0</v>
      </c>
      <c r="AK126">
        <v>0</v>
      </c>
      <c r="AL126" t="s">
        <v>93</v>
      </c>
      <c r="AM126" t="s">
        <v>94</v>
      </c>
      <c r="AN126" t="s">
        <v>95</v>
      </c>
      <c r="AO126" t="s">
        <v>74</v>
      </c>
      <c r="AP126" t="s">
        <v>292</v>
      </c>
      <c r="AQ126" t="s">
        <v>74</v>
      </c>
      <c r="AR126" t="s">
        <v>293</v>
      </c>
      <c r="AS126" t="s">
        <v>294</v>
      </c>
      <c r="AT126" t="s">
        <v>1753</v>
      </c>
      <c r="AU126">
        <v>2022</v>
      </c>
      <c r="AV126">
        <v>14</v>
      </c>
      <c r="AW126">
        <v>20</v>
      </c>
      <c r="AX126" t="s">
        <v>74</v>
      </c>
      <c r="AY126" t="s">
        <v>74</v>
      </c>
      <c r="AZ126" t="s">
        <v>74</v>
      </c>
      <c r="BA126" t="s">
        <v>74</v>
      </c>
      <c r="BB126" t="s">
        <v>74</v>
      </c>
      <c r="BC126" t="s">
        <v>74</v>
      </c>
      <c r="BD126">
        <v>13634</v>
      </c>
      <c r="BE126" t="s">
        <v>4314</v>
      </c>
      <c r="BF126" t="str">
        <f>HYPERLINK("http://dx.doi.org/10.3390/su142013634","http://dx.doi.org/10.3390/su142013634")</f>
        <v>http://dx.doi.org/10.3390/su142013634</v>
      </c>
      <c r="BG126" t="s">
        <v>74</v>
      </c>
      <c r="BH126" t="s">
        <v>74</v>
      </c>
      <c r="BI126">
        <v>18</v>
      </c>
      <c r="BJ126" t="s">
        <v>297</v>
      </c>
      <c r="BK126" t="s">
        <v>298</v>
      </c>
      <c r="BL126" t="s">
        <v>299</v>
      </c>
      <c r="BM126" t="s">
        <v>4315</v>
      </c>
      <c r="BN126" t="s">
        <v>74</v>
      </c>
      <c r="BO126" t="s">
        <v>104</v>
      </c>
      <c r="BP126" t="s">
        <v>74</v>
      </c>
      <c r="BQ126" t="s">
        <v>74</v>
      </c>
      <c r="BR126" t="s">
        <v>105</v>
      </c>
      <c r="BS126" t="s">
        <v>4316</v>
      </c>
      <c r="BT126" t="str">
        <f>HYPERLINK("https%3A%2F%2Fwww.webofscience.com%2Fwos%2Fwoscc%2Ffull-record%2FWOS:000873857100001","View Full Record in Web of Science")</f>
        <v>View Full Record in Web of Science</v>
      </c>
    </row>
    <row r="127" spans="1:72" x14ac:dyDescent="0.2">
      <c r="A127" t="s">
        <v>72</v>
      </c>
      <c r="B127" t="s">
        <v>4107</v>
      </c>
      <c r="C127" t="s">
        <v>74</v>
      </c>
      <c r="D127" t="s">
        <v>74</v>
      </c>
      <c r="E127" t="s">
        <v>74</v>
      </c>
      <c r="F127" t="s">
        <v>4108</v>
      </c>
      <c r="G127" t="s">
        <v>74</v>
      </c>
      <c r="H127" t="s">
        <v>74</v>
      </c>
      <c r="I127" t="s">
        <v>4109</v>
      </c>
      <c r="J127" t="s">
        <v>348</v>
      </c>
      <c r="K127" t="s">
        <v>74</v>
      </c>
      <c r="L127" t="s">
        <v>74</v>
      </c>
      <c r="M127" t="s">
        <v>78</v>
      </c>
      <c r="N127" t="s">
        <v>79</v>
      </c>
      <c r="O127" t="s">
        <v>74</v>
      </c>
      <c r="P127" t="s">
        <v>74</v>
      </c>
      <c r="Q127" t="s">
        <v>74</v>
      </c>
      <c r="R127" t="s">
        <v>74</v>
      </c>
      <c r="S127" t="s">
        <v>74</v>
      </c>
      <c r="T127" t="s">
        <v>4110</v>
      </c>
      <c r="U127" t="s">
        <v>74</v>
      </c>
      <c r="V127" t="s">
        <v>4111</v>
      </c>
      <c r="W127" s="1" t="s">
        <v>4112</v>
      </c>
      <c r="X127" t="s">
        <v>4035</v>
      </c>
      <c r="Y127" t="s">
        <v>4113</v>
      </c>
      <c r="Z127" t="s">
        <v>4114</v>
      </c>
      <c r="AA127" t="s">
        <v>4115</v>
      </c>
      <c r="AB127" t="s">
        <v>4116</v>
      </c>
      <c r="AC127" t="s">
        <v>4117</v>
      </c>
      <c r="AD127" t="s">
        <v>4118</v>
      </c>
      <c r="AE127" t="s">
        <v>4119</v>
      </c>
      <c r="AF127" t="s">
        <v>4120</v>
      </c>
      <c r="AG127">
        <v>36</v>
      </c>
      <c r="AH127">
        <v>0</v>
      </c>
      <c r="AI127">
        <v>0</v>
      </c>
      <c r="AJ127">
        <v>7</v>
      </c>
      <c r="AK127">
        <v>13</v>
      </c>
      <c r="AL127" t="s">
        <v>93</v>
      </c>
      <c r="AM127" t="s">
        <v>94</v>
      </c>
      <c r="AN127" t="s">
        <v>95</v>
      </c>
      <c r="AO127" t="s">
        <v>74</v>
      </c>
      <c r="AP127" t="s">
        <v>362</v>
      </c>
      <c r="AQ127" t="s">
        <v>74</v>
      </c>
      <c r="AR127" t="s">
        <v>363</v>
      </c>
      <c r="AS127" t="s">
        <v>364</v>
      </c>
      <c r="AT127" t="s">
        <v>460</v>
      </c>
      <c r="AU127">
        <v>2022</v>
      </c>
      <c r="AV127">
        <v>22</v>
      </c>
      <c r="AW127">
        <v>15</v>
      </c>
      <c r="AX127" t="s">
        <v>74</v>
      </c>
      <c r="AY127" t="s">
        <v>74</v>
      </c>
      <c r="AZ127" t="s">
        <v>74</v>
      </c>
      <c r="BA127" t="s">
        <v>74</v>
      </c>
      <c r="BB127" t="s">
        <v>74</v>
      </c>
      <c r="BC127" t="s">
        <v>74</v>
      </c>
      <c r="BD127">
        <v>5789</v>
      </c>
      <c r="BE127" t="s">
        <v>4121</v>
      </c>
      <c r="BF127" t="str">
        <f>HYPERLINK("http://dx.doi.org/10.3390/s22155789","http://dx.doi.org/10.3390/s22155789")</f>
        <v>http://dx.doi.org/10.3390/s22155789</v>
      </c>
      <c r="BG127" t="s">
        <v>74</v>
      </c>
      <c r="BH127" t="s">
        <v>74</v>
      </c>
      <c r="BI127">
        <v>9</v>
      </c>
      <c r="BJ127" t="s">
        <v>366</v>
      </c>
      <c r="BK127" t="s">
        <v>102</v>
      </c>
      <c r="BL127" t="s">
        <v>367</v>
      </c>
      <c r="BM127" t="s">
        <v>4122</v>
      </c>
      <c r="BN127">
        <v>35957345</v>
      </c>
      <c r="BO127" t="s">
        <v>104</v>
      </c>
      <c r="BP127" t="s">
        <v>74</v>
      </c>
      <c r="BQ127" t="s">
        <v>74</v>
      </c>
      <c r="BR127" t="s">
        <v>105</v>
      </c>
      <c r="BS127" t="s">
        <v>4123</v>
      </c>
      <c r="BT127" t="str">
        <f>HYPERLINK("https%3A%2F%2Fwww.webofscience.com%2Fwos%2Fwoscc%2Ffull-record%2FWOS:000839785000001","View Full Record in Web of Science")</f>
        <v>View Full Record in Web of Science</v>
      </c>
    </row>
    <row r="128" spans="1:72" x14ac:dyDescent="0.2">
      <c r="A128" t="s">
        <v>72</v>
      </c>
      <c r="B128" t="s">
        <v>2490</v>
      </c>
      <c r="C128" t="s">
        <v>74</v>
      </c>
      <c r="D128" t="s">
        <v>74</v>
      </c>
      <c r="E128" t="s">
        <v>74</v>
      </c>
      <c r="F128" t="s">
        <v>2491</v>
      </c>
      <c r="G128" t="s">
        <v>74</v>
      </c>
      <c r="H128" t="s">
        <v>74</v>
      </c>
      <c r="I128" t="s">
        <v>2606</v>
      </c>
      <c r="J128" t="s">
        <v>2607</v>
      </c>
      <c r="K128" t="s">
        <v>74</v>
      </c>
      <c r="L128" t="s">
        <v>74</v>
      </c>
      <c r="M128" t="s">
        <v>78</v>
      </c>
      <c r="N128" t="s">
        <v>79</v>
      </c>
      <c r="O128" t="s">
        <v>74</v>
      </c>
      <c r="P128" t="s">
        <v>74</v>
      </c>
      <c r="Q128" t="s">
        <v>74</v>
      </c>
      <c r="R128" t="s">
        <v>74</v>
      </c>
      <c r="S128" t="s">
        <v>74</v>
      </c>
      <c r="T128" t="s">
        <v>2608</v>
      </c>
      <c r="U128" t="s">
        <v>2609</v>
      </c>
      <c r="V128" t="s">
        <v>2610</v>
      </c>
      <c r="W128" s="1" t="s">
        <v>2611</v>
      </c>
      <c r="X128" t="s">
        <v>84</v>
      </c>
      <c r="Y128" t="s">
        <v>2612</v>
      </c>
      <c r="Z128" t="s">
        <v>2499</v>
      </c>
      <c r="AA128" t="s">
        <v>74</v>
      </c>
      <c r="AB128" t="s">
        <v>74</v>
      </c>
      <c r="AC128" t="s">
        <v>74</v>
      </c>
      <c r="AD128" t="s">
        <v>74</v>
      </c>
      <c r="AE128" t="s">
        <v>74</v>
      </c>
      <c r="AF128" t="s">
        <v>2613</v>
      </c>
      <c r="AG128">
        <v>29</v>
      </c>
      <c r="AH128">
        <v>1</v>
      </c>
      <c r="AI128">
        <v>1</v>
      </c>
      <c r="AJ128">
        <v>4</v>
      </c>
      <c r="AK128">
        <v>4</v>
      </c>
      <c r="AL128" t="s">
        <v>2614</v>
      </c>
      <c r="AM128" t="s">
        <v>264</v>
      </c>
      <c r="AN128" t="s">
        <v>2615</v>
      </c>
      <c r="AO128" t="s">
        <v>2616</v>
      </c>
      <c r="AP128" t="s">
        <v>2617</v>
      </c>
      <c r="AQ128" t="s">
        <v>74</v>
      </c>
      <c r="AR128" t="s">
        <v>2618</v>
      </c>
      <c r="AS128" t="s">
        <v>2619</v>
      </c>
      <c r="AT128" t="s">
        <v>74</v>
      </c>
      <c r="AU128">
        <v>2022</v>
      </c>
      <c r="AV128">
        <v>127</v>
      </c>
      <c r="AW128">
        <v>3</v>
      </c>
      <c r="AX128" t="s">
        <v>74</v>
      </c>
      <c r="AY128" t="s">
        <v>74</v>
      </c>
      <c r="AZ128" t="s">
        <v>74</v>
      </c>
      <c r="BA128" t="s">
        <v>74</v>
      </c>
      <c r="BB128">
        <v>275</v>
      </c>
      <c r="BC128">
        <v>296</v>
      </c>
      <c r="BD128" t="s">
        <v>74</v>
      </c>
      <c r="BE128" t="s">
        <v>2620</v>
      </c>
      <c r="BF128" t="str">
        <f>HYPERLINK("http://dx.doi.org/10.3233/ASY-211690","http://dx.doi.org/10.3233/ASY-211690")</f>
        <v>http://dx.doi.org/10.3233/ASY-211690</v>
      </c>
      <c r="BG128" t="s">
        <v>74</v>
      </c>
      <c r="BH128" t="s">
        <v>74</v>
      </c>
      <c r="BI128">
        <v>22</v>
      </c>
      <c r="BJ128" t="s">
        <v>2508</v>
      </c>
      <c r="BK128" t="s">
        <v>102</v>
      </c>
      <c r="BL128" t="s">
        <v>576</v>
      </c>
      <c r="BM128" t="s">
        <v>2621</v>
      </c>
      <c r="BN128" t="s">
        <v>74</v>
      </c>
      <c r="BO128" t="s">
        <v>74</v>
      </c>
      <c r="BP128" t="s">
        <v>74</v>
      </c>
      <c r="BQ128" t="s">
        <v>74</v>
      </c>
      <c r="BR128" t="s">
        <v>105</v>
      </c>
      <c r="BS128" t="s">
        <v>2622</v>
      </c>
      <c r="BT128" t="str">
        <f>HYPERLINK("https%3A%2F%2Fwww.webofscience.com%2Fwos%2Fwoscc%2Ffull-record%2FWOS:000752432000004","View Full Record in Web of Science")</f>
        <v>View Full Record in Web of Science</v>
      </c>
    </row>
    <row r="129" spans="1:72" x14ac:dyDescent="0.2">
      <c r="A129" t="s">
        <v>72</v>
      </c>
      <c r="B129" t="s">
        <v>2490</v>
      </c>
      <c r="C129" t="s">
        <v>74</v>
      </c>
      <c r="D129" t="s">
        <v>74</v>
      </c>
      <c r="E129" t="s">
        <v>74</v>
      </c>
      <c r="F129" t="s">
        <v>2491</v>
      </c>
      <c r="G129" t="s">
        <v>74</v>
      </c>
      <c r="H129" t="s">
        <v>74</v>
      </c>
      <c r="I129" t="s">
        <v>2492</v>
      </c>
      <c r="J129" t="s">
        <v>2493</v>
      </c>
      <c r="K129" t="s">
        <v>74</v>
      </c>
      <c r="L129" t="s">
        <v>74</v>
      </c>
      <c r="M129" t="s">
        <v>78</v>
      </c>
      <c r="N129" t="s">
        <v>79</v>
      </c>
      <c r="O129" t="s">
        <v>74</v>
      </c>
      <c r="P129" t="s">
        <v>74</v>
      </c>
      <c r="Q129" t="s">
        <v>74</v>
      </c>
      <c r="R129" t="s">
        <v>74</v>
      </c>
      <c r="S129" t="s">
        <v>74</v>
      </c>
      <c r="T129" t="s">
        <v>2494</v>
      </c>
      <c r="U129" t="s">
        <v>2495</v>
      </c>
      <c r="V129" t="s">
        <v>2496</v>
      </c>
      <c r="W129" s="1" t="s">
        <v>2497</v>
      </c>
      <c r="X129" t="s">
        <v>84</v>
      </c>
      <c r="Y129" t="s">
        <v>2498</v>
      </c>
      <c r="Z129" t="s">
        <v>2499</v>
      </c>
      <c r="AA129" t="s">
        <v>2500</v>
      </c>
      <c r="AB129" t="s">
        <v>2501</v>
      </c>
      <c r="AC129" t="s">
        <v>74</v>
      </c>
      <c r="AD129" t="s">
        <v>74</v>
      </c>
      <c r="AE129" t="s">
        <v>74</v>
      </c>
      <c r="AF129" t="s">
        <v>2502</v>
      </c>
      <c r="AG129">
        <v>31</v>
      </c>
      <c r="AH129">
        <v>0</v>
      </c>
      <c r="AI129">
        <v>0</v>
      </c>
      <c r="AJ129">
        <v>3</v>
      </c>
      <c r="AK129">
        <v>5</v>
      </c>
      <c r="AL129" t="s">
        <v>150</v>
      </c>
      <c r="AM129" t="s">
        <v>1653</v>
      </c>
      <c r="AN129" t="s">
        <v>1654</v>
      </c>
      <c r="AO129" t="s">
        <v>2503</v>
      </c>
      <c r="AP129" t="s">
        <v>2504</v>
      </c>
      <c r="AQ129" t="s">
        <v>74</v>
      </c>
      <c r="AR129" t="s">
        <v>2505</v>
      </c>
      <c r="AS129" t="s">
        <v>2506</v>
      </c>
      <c r="AT129" t="s">
        <v>1029</v>
      </c>
      <c r="AU129">
        <v>2022</v>
      </c>
      <c r="AV129">
        <v>177</v>
      </c>
      <c r="AW129">
        <v>1</v>
      </c>
      <c r="AX129" t="s">
        <v>74</v>
      </c>
      <c r="AY129" t="s">
        <v>74</v>
      </c>
      <c r="AZ129" t="s">
        <v>74</v>
      </c>
      <c r="BA129" t="s">
        <v>74</v>
      </c>
      <c r="BB129" t="s">
        <v>74</v>
      </c>
      <c r="BC129" t="s">
        <v>74</v>
      </c>
      <c r="BD129">
        <v>1</v>
      </c>
      <c r="BE129" t="s">
        <v>2507</v>
      </c>
      <c r="BF129" t="str">
        <f>HYPERLINK("http://dx.doi.org/10.1007/s10440-021-00463-w","http://dx.doi.org/10.1007/s10440-021-00463-w")</f>
        <v>http://dx.doi.org/10.1007/s10440-021-00463-w</v>
      </c>
      <c r="BG129" t="s">
        <v>74</v>
      </c>
      <c r="BH129" t="s">
        <v>74</v>
      </c>
      <c r="BI129">
        <v>25</v>
      </c>
      <c r="BJ129" t="s">
        <v>2508</v>
      </c>
      <c r="BK129" t="s">
        <v>102</v>
      </c>
      <c r="BL129" t="s">
        <v>576</v>
      </c>
      <c r="BM129" t="s">
        <v>2509</v>
      </c>
      <c r="BN129" t="s">
        <v>74</v>
      </c>
      <c r="BO129" t="s">
        <v>74</v>
      </c>
      <c r="BP129" t="s">
        <v>74</v>
      </c>
      <c r="BQ129" t="s">
        <v>74</v>
      </c>
      <c r="BR129" t="s">
        <v>105</v>
      </c>
      <c r="BS129" t="s">
        <v>2510</v>
      </c>
      <c r="BT129" t="str">
        <f>HYPERLINK("https%3A%2F%2Fwww.webofscience.com%2Fwos%2Fwoscc%2Ffull-record%2FWOS:000734770500001","View Full Record in Web of Science")</f>
        <v>View Full Record in Web of Science</v>
      </c>
    </row>
    <row r="130" spans="1:72" x14ac:dyDescent="0.2">
      <c r="A130" t="s">
        <v>72</v>
      </c>
      <c r="B130" t="s">
        <v>4676</v>
      </c>
      <c r="C130" t="s">
        <v>74</v>
      </c>
      <c r="D130" t="s">
        <v>74</v>
      </c>
      <c r="E130" t="s">
        <v>74</v>
      </c>
      <c r="F130" t="s">
        <v>4677</v>
      </c>
      <c r="G130" t="s">
        <v>74</v>
      </c>
      <c r="H130" t="s">
        <v>74</v>
      </c>
      <c r="I130" t="s">
        <v>4678</v>
      </c>
      <c r="J130" t="s">
        <v>1925</v>
      </c>
      <c r="K130" t="s">
        <v>74</v>
      </c>
      <c r="L130" t="s">
        <v>74</v>
      </c>
      <c r="M130" t="s">
        <v>78</v>
      </c>
      <c r="N130" t="s">
        <v>79</v>
      </c>
      <c r="O130" t="s">
        <v>74</v>
      </c>
      <c r="P130" t="s">
        <v>74</v>
      </c>
      <c r="Q130" t="s">
        <v>74</v>
      </c>
      <c r="R130" t="s">
        <v>74</v>
      </c>
      <c r="S130" t="s">
        <v>74</v>
      </c>
      <c r="T130" t="s">
        <v>74</v>
      </c>
      <c r="U130" t="s">
        <v>74</v>
      </c>
      <c r="V130" t="s">
        <v>74</v>
      </c>
      <c r="W130" s="1" t="s">
        <v>4679</v>
      </c>
      <c r="X130" t="s">
        <v>84</v>
      </c>
      <c r="Y130" t="s">
        <v>4680</v>
      </c>
      <c r="Z130" t="s">
        <v>74</v>
      </c>
      <c r="AA130" t="s">
        <v>74</v>
      </c>
      <c r="AB130" t="s">
        <v>74</v>
      </c>
      <c r="AC130" t="s">
        <v>74</v>
      </c>
      <c r="AD130" t="s">
        <v>74</v>
      </c>
      <c r="AE130" t="s">
        <v>74</v>
      </c>
      <c r="AF130" t="s">
        <v>4681</v>
      </c>
      <c r="AG130">
        <v>18</v>
      </c>
      <c r="AH130">
        <v>0</v>
      </c>
      <c r="AI130">
        <v>0</v>
      </c>
      <c r="AJ130">
        <v>0</v>
      </c>
      <c r="AK130">
        <v>0</v>
      </c>
      <c r="AL130" t="s">
        <v>1930</v>
      </c>
      <c r="AM130" t="s">
        <v>1931</v>
      </c>
      <c r="AN130" t="s">
        <v>1932</v>
      </c>
      <c r="AO130" t="s">
        <v>1933</v>
      </c>
      <c r="AP130" t="s">
        <v>1934</v>
      </c>
      <c r="AQ130" t="s">
        <v>74</v>
      </c>
      <c r="AR130" t="s">
        <v>1935</v>
      </c>
      <c r="AS130" t="s">
        <v>1936</v>
      </c>
      <c r="AT130" t="s">
        <v>1487</v>
      </c>
      <c r="AU130">
        <v>2022</v>
      </c>
      <c r="AV130">
        <v>8</v>
      </c>
      <c r="AW130">
        <v>31</v>
      </c>
      <c r="AX130" t="s">
        <v>74</v>
      </c>
      <c r="AY130" t="s">
        <v>74</v>
      </c>
      <c r="AZ130" t="s">
        <v>74</v>
      </c>
      <c r="BA130" t="s">
        <v>74</v>
      </c>
      <c r="BB130">
        <v>163</v>
      </c>
      <c r="BC130">
        <v>174</v>
      </c>
      <c r="BD130" t="s">
        <v>74</v>
      </c>
      <c r="BE130" t="s">
        <v>4682</v>
      </c>
      <c r="BF130" t="str">
        <f>HYPERLINK("http://dx.doi.org/10.19053/01235095.v8.n31.2022.15298","http://dx.doi.org/10.19053/01235095.v8.n31.2022.15298")</f>
        <v>http://dx.doi.org/10.19053/01235095.v8.n31.2022.15298</v>
      </c>
      <c r="BG130" t="s">
        <v>74</v>
      </c>
      <c r="BH130" t="s">
        <v>74</v>
      </c>
      <c r="BI130">
        <v>12</v>
      </c>
      <c r="BJ130" t="s">
        <v>1938</v>
      </c>
      <c r="BK130" t="s">
        <v>187</v>
      </c>
      <c r="BL130" t="s">
        <v>1938</v>
      </c>
      <c r="BM130" t="s">
        <v>1939</v>
      </c>
      <c r="BN130" t="s">
        <v>74</v>
      </c>
      <c r="BO130" t="s">
        <v>190</v>
      </c>
      <c r="BP130" t="s">
        <v>74</v>
      </c>
      <c r="BQ130" t="s">
        <v>74</v>
      </c>
      <c r="BR130" t="s">
        <v>105</v>
      </c>
      <c r="BS130" t="s">
        <v>4683</v>
      </c>
      <c r="BT130" t="str">
        <f>HYPERLINK("https%3A%2F%2Fwww.webofscience.com%2Fwos%2Fwoscc%2Ffull-record%2FWOS:000905329300002","View Full Record in Web of Science")</f>
        <v>View Full Record in Web of Science</v>
      </c>
    </row>
    <row r="131" spans="1:72" x14ac:dyDescent="0.2">
      <c r="A131" t="s">
        <v>72</v>
      </c>
      <c r="B131" t="s">
        <v>2003</v>
      </c>
      <c r="C131" t="s">
        <v>74</v>
      </c>
      <c r="D131" t="s">
        <v>74</v>
      </c>
      <c r="E131" t="s">
        <v>74</v>
      </c>
      <c r="F131" t="s">
        <v>2004</v>
      </c>
      <c r="G131" t="s">
        <v>74</v>
      </c>
      <c r="H131" t="s">
        <v>74</v>
      </c>
      <c r="I131" t="s">
        <v>2005</v>
      </c>
      <c r="J131" t="s">
        <v>1925</v>
      </c>
      <c r="K131" t="s">
        <v>74</v>
      </c>
      <c r="L131" t="s">
        <v>74</v>
      </c>
      <c r="M131" t="s">
        <v>1517</v>
      </c>
      <c r="N131" t="s">
        <v>2006</v>
      </c>
      <c r="O131" t="s">
        <v>74</v>
      </c>
      <c r="P131" t="s">
        <v>74</v>
      </c>
      <c r="Q131" t="s">
        <v>74</v>
      </c>
      <c r="R131" t="s">
        <v>74</v>
      </c>
      <c r="S131" t="s">
        <v>74</v>
      </c>
      <c r="T131" t="s">
        <v>74</v>
      </c>
      <c r="U131" t="s">
        <v>74</v>
      </c>
      <c r="V131" t="s">
        <v>74</v>
      </c>
      <c r="W131" s="1" t="s">
        <v>2007</v>
      </c>
      <c r="X131" t="s">
        <v>84</v>
      </c>
      <c r="Y131" t="s">
        <v>2008</v>
      </c>
      <c r="Z131" t="s">
        <v>74</v>
      </c>
      <c r="AA131" t="s">
        <v>74</v>
      </c>
      <c r="AB131" t="s">
        <v>74</v>
      </c>
      <c r="AC131" t="s">
        <v>74</v>
      </c>
      <c r="AD131" t="s">
        <v>74</v>
      </c>
      <c r="AE131" t="s">
        <v>74</v>
      </c>
      <c r="AF131" t="s">
        <v>74</v>
      </c>
      <c r="AG131">
        <v>0</v>
      </c>
      <c r="AH131">
        <v>0</v>
      </c>
      <c r="AI131">
        <v>0</v>
      </c>
      <c r="AJ131">
        <v>0</v>
      </c>
      <c r="AK131">
        <v>0</v>
      </c>
      <c r="AL131" t="s">
        <v>1930</v>
      </c>
      <c r="AM131" t="s">
        <v>1931</v>
      </c>
      <c r="AN131" t="s">
        <v>1932</v>
      </c>
      <c r="AO131" t="s">
        <v>1933</v>
      </c>
      <c r="AP131" t="s">
        <v>1934</v>
      </c>
      <c r="AQ131" t="s">
        <v>74</v>
      </c>
      <c r="AR131" t="s">
        <v>1935</v>
      </c>
      <c r="AS131" t="s">
        <v>1936</v>
      </c>
      <c r="AT131" t="s">
        <v>1527</v>
      </c>
      <c r="AU131">
        <v>2022</v>
      </c>
      <c r="AV131">
        <v>8</v>
      </c>
      <c r="AW131">
        <v>30</v>
      </c>
      <c r="AX131" t="s">
        <v>74</v>
      </c>
      <c r="AY131" t="s">
        <v>74</v>
      </c>
      <c r="AZ131" t="s">
        <v>74</v>
      </c>
      <c r="BA131" t="s">
        <v>74</v>
      </c>
      <c r="BB131">
        <v>11</v>
      </c>
      <c r="BC131">
        <v>14</v>
      </c>
      <c r="BD131" t="s">
        <v>74</v>
      </c>
      <c r="BE131" t="s">
        <v>74</v>
      </c>
      <c r="BF131" t="s">
        <v>74</v>
      </c>
      <c r="BG131" t="s">
        <v>74</v>
      </c>
      <c r="BH131" t="s">
        <v>74</v>
      </c>
      <c r="BI131">
        <v>4</v>
      </c>
      <c r="BJ131" t="s">
        <v>1938</v>
      </c>
      <c r="BK131" t="s">
        <v>187</v>
      </c>
      <c r="BL131" t="s">
        <v>1938</v>
      </c>
      <c r="BM131" t="s">
        <v>2009</v>
      </c>
      <c r="BN131" t="s">
        <v>74</v>
      </c>
      <c r="BO131" t="s">
        <v>74</v>
      </c>
      <c r="BP131" t="s">
        <v>74</v>
      </c>
      <c r="BQ131" t="s">
        <v>74</v>
      </c>
      <c r="BR131" t="s">
        <v>105</v>
      </c>
      <c r="BS131" t="s">
        <v>2010</v>
      </c>
      <c r="BT131" t="str">
        <f>HYPERLINK("https%3A%2F%2Fwww.webofscience.com%2Fwos%2Fwoscc%2Ffull-record%2FWOS:000877229500001","View Full Record in Web of Science")</f>
        <v>View Full Record in Web of Science</v>
      </c>
    </row>
    <row r="132" spans="1:72" x14ac:dyDescent="0.2">
      <c r="A132" t="s">
        <v>72</v>
      </c>
      <c r="B132" t="s">
        <v>2003</v>
      </c>
      <c r="C132" t="s">
        <v>74</v>
      </c>
      <c r="D132" t="s">
        <v>74</v>
      </c>
      <c r="E132" t="s">
        <v>74</v>
      </c>
      <c r="F132" t="s">
        <v>2004</v>
      </c>
      <c r="G132" t="s">
        <v>74</v>
      </c>
      <c r="H132" t="s">
        <v>74</v>
      </c>
      <c r="I132" t="s">
        <v>2263</v>
      </c>
      <c r="J132" t="s">
        <v>1925</v>
      </c>
      <c r="K132" t="s">
        <v>74</v>
      </c>
      <c r="L132" t="s">
        <v>74</v>
      </c>
      <c r="M132" t="s">
        <v>1517</v>
      </c>
      <c r="N132" t="s">
        <v>2006</v>
      </c>
      <c r="O132" t="s">
        <v>74</v>
      </c>
      <c r="P132" t="s">
        <v>74</v>
      </c>
      <c r="Q132" t="s">
        <v>74</v>
      </c>
      <c r="R132" t="s">
        <v>74</v>
      </c>
      <c r="S132" t="s">
        <v>74</v>
      </c>
      <c r="T132" t="s">
        <v>74</v>
      </c>
      <c r="U132" t="s">
        <v>74</v>
      </c>
      <c r="V132" t="s">
        <v>74</v>
      </c>
      <c r="W132" s="1" t="s">
        <v>2007</v>
      </c>
      <c r="X132" t="s">
        <v>84</v>
      </c>
      <c r="Y132" t="s">
        <v>2008</v>
      </c>
      <c r="Z132" t="s">
        <v>74</v>
      </c>
      <c r="AA132" t="s">
        <v>74</v>
      </c>
      <c r="AB132" t="s">
        <v>74</v>
      </c>
      <c r="AC132" t="s">
        <v>74</v>
      </c>
      <c r="AD132" t="s">
        <v>74</v>
      </c>
      <c r="AE132" t="s">
        <v>74</v>
      </c>
      <c r="AF132" t="s">
        <v>74</v>
      </c>
      <c r="AG132">
        <v>0</v>
      </c>
      <c r="AH132">
        <v>0</v>
      </c>
      <c r="AI132">
        <v>0</v>
      </c>
      <c r="AJ132">
        <v>0</v>
      </c>
      <c r="AK132">
        <v>0</v>
      </c>
      <c r="AL132" t="s">
        <v>1930</v>
      </c>
      <c r="AM132" t="s">
        <v>1931</v>
      </c>
      <c r="AN132" t="s">
        <v>1932</v>
      </c>
      <c r="AO132" t="s">
        <v>1933</v>
      </c>
      <c r="AP132" t="s">
        <v>1934</v>
      </c>
      <c r="AQ132" t="s">
        <v>74</v>
      </c>
      <c r="AR132" t="s">
        <v>1935</v>
      </c>
      <c r="AS132" t="s">
        <v>1936</v>
      </c>
      <c r="AT132" t="s">
        <v>1527</v>
      </c>
      <c r="AU132">
        <v>2022</v>
      </c>
      <c r="AV132">
        <v>8</v>
      </c>
      <c r="AW132">
        <v>31</v>
      </c>
      <c r="AX132" t="s">
        <v>74</v>
      </c>
      <c r="AY132" t="s">
        <v>74</v>
      </c>
      <c r="AZ132" t="s">
        <v>74</v>
      </c>
      <c r="BA132" t="s">
        <v>74</v>
      </c>
      <c r="BB132">
        <v>11</v>
      </c>
      <c r="BC132">
        <v>14</v>
      </c>
      <c r="BD132" t="s">
        <v>74</v>
      </c>
      <c r="BE132" t="s">
        <v>74</v>
      </c>
      <c r="BF132" t="s">
        <v>74</v>
      </c>
      <c r="BG132" t="s">
        <v>74</v>
      </c>
      <c r="BH132" t="s">
        <v>74</v>
      </c>
      <c r="BI132">
        <v>4</v>
      </c>
      <c r="BJ132" t="s">
        <v>1938</v>
      </c>
      <c r="BK132" t="s">
        <v>187</v>
      </c>
      <c r="BL132" t="s">
        <v>1938</v>
      </c>
      <c r="BM132" t="s">
        <v>2264</v>
      </c>
      <c r="BN132" t="s">
        <v>74</v>
      </c>
      <c r="BO132" t="s">
        <v>74</v>
      </c>
      <c r="BP132" t="s">
        <v>74</v>
      </c>
      <c r="BQ132" t="s">
        <v>74</v>
      </c>
      <c r="BR132" t="s">
        <v>105</v>
      </c>
      <c r="BS132" t="s">
        <v>2265</v>
      </c>
      <c r="BT132" t="str">
        <f>HYPERLINK("https%3A%2F%2Fwww.webofscience.com%2Fwos%2Fwoscc%2Ffull-record%2FWOS:000906552800001","View Full Record in Web of Science")</f>
        <v>View Full Record in Web of Science</v>
      </c>
    </row>
    <row r="133" spans="1:72" x14ac:dyDescent="0.2">
      <c r="A133" t="s">
        <v>72</v>
      </c>
      <c r="B133" t="s">
        <v>2511</v>
      </c>
      <c r="C133" t="s">
        <v>74</v>
      </c>
      <c r="D133" t="s">
        <v>74</v>
      </c>
      <c r="E133" t="s">
        <v>74</v>
      </c>
      <c r="F133" t="s">
        <v>2512</v>
      </c>
      <c r="G133" t="s">
        <v>74</v>
      </c>
      <c r="H133" t="s">
        <v>74</v>
      </c>
      <c r="I133" t="s">
        <v>2513</v>
      </c>
      <c r="J133" t="s">
        <v>1667</v>
      </c>
      <c r="K133" t="s">
        <v>74</v>
      </c>
      <c r="L133" t="s">
        <v>74</v>
      </c>
      <c r="M133" t="s">
        <v>78</v>
      </c>
      <c r="N133" t="s">
        <v>79</v>
      </c>
      <c r="O133" t="s">
        <v>74</v>
      </c>
      <c r="P133" t="s">
        <v>74</v>
      </c>
      <c r="Q133" t="s">
        <v>74</v>
      </c>
      <c r="R133" t="s">
        <v>74</v>
      </c>
      <c r="S133" t="s">
        <v>74</v>
      </c>
      <c r="T133" t="s">
        <v>2514</v>
      </c>
      <c r="U133" t="s">
        <v>2515</v>
      </c>
      <c r="V133" t="s">
        <v>2516</v>
      </c>
      <c r="W133" s="1" t="s">
        <v>2517</v>
      </c>
      <c r="X133" t="s">
        <v>84</v>
      </c>
      <c r="Y133" t="s">
        <v>2518</v>
      </c>
      <c r="Z133" t="s">
        <v>2519</v>
      </c>
      <c r="AA133" t="s">
        <v>2520</v>
      </c>
      <c r="AB133" t="s">
        <v>2521</v>
      </c>
      <c r="AC133" t="s">
        <v>74</v>
      </c>
      <c r="AD133" t="s">
        <v>74</v>
      </c>
      <c r="AE133" t="s">
        <v>74</v>
      </c>
      <c r="AF133" t="s">
        <v>2522</v>
      </c>
      <c r="AG133">
        <v>19</v>
      </c>
      <c r="AH133">
        <v>0</v>
      </c>
      <c r="AI133">
        <v>0</v>
      </c>
      <c r="AJ133">
        <v>0</v>
      </c>
      <c r="AK133">
        <v>0</v>
      </c>
      <c r="AL133" t="s">
        <v>1676</v>
      </c>
      <c r="AM133" t="s">
        <v>1677</v>
      </c>
      <c r="AN133" t="s">
        <v>1678</v>
      </c>
      <c r="AO133" t="s">
        <v>1679</v>
      </c>
      <c r="AP133" t="s">
        <v>1680</v>
      </c>
      <c r="AQ133" t="s">
        <v>74</v>
      </c>
      <c r="AR133" t="s">
        <v>1681</v>
      </c>
      <c r="AS133" t="s">
        <v>1682</v>
      </c>
      <c r="AT133" t="s">
        <v>268</v>
      </c>
      <c r="AU133">
        <v>2023</v>
      </c>
      <c r="AV133">
        <v>38</v>
      </c>
      <c r="AW133">
        <v>1</v>
      </c>
      <c r="AX133" t="s">
        <v>74</v>
      </c>
      <c r="AY133" t="s">
        <v>74</v>
      </c>
      <c r="AZ133" t="s">
        <v>74</v>
      </c>
      <c r="BA133" t="s">
        <v>74</v>
      </c>
      <c r="BB133">
        <v>163</v>
      </c>
      <c r="BC133">
        <v>175</v>
      </c>
      <c r="BD133" t="s">
        <v>74</v>
      </c>
      <c r="BE133" t="s">
        <v>2523</v>
      </c>
      <c r="BF133" t="str">
        <f>HYPERLINK("http://dx.doi.org/10.7764/RIC.00059.21","http://dx.doi.org/10.7764/RIC.00059.21")</f>
        <v>http://dx.doi.org/10.7764/RIC.00059.21</v>
      </c>
      <c r="BG133" t="s">
        <v>74</v>
      </c>
      <c r="BH133" t="s">
        <v>1080</v>
      </c>
      <c r="BI133">
        <v>13</v>
      </c>
      <c r="BJ133" t="s">
        <v>1685</v>
      </c>
      <c r="BK133" t="s">
        <v>187</v>
      </c>
      <c r="BL133" t="s">
        <v>1685</v>
      </c>
      <c r="BM133" t="s">
        <v>1875</v>
      </c>
      <c r="BN133" t="s">
        <v>74</v>
      </c>
      <c r="BO133" t="s">
        <v>1191</v>
      </c>
      <c r="BP133" t="s">
        <v>74</v>
      </c>
      <c r="BQ133" t="s">
        <v>74</v>
      </c>
      <c r="BR133" t="s">
        <v>105</v>
      </c>
      <c r="BS133" t="s">
        <v>2524</v>
      </c>
      <c r="BT133" t="str">
        <f>HYPERLINK("https%3A%2F%2Fwww.webofscience.com%2Fwos%2Fwoscc%2Ffull-record%2FWOS:000969177200001","View Full Record in Web of Science")</f>
        <v>View Full Record in Web of Science</v>
      </c>
    </row>
    <row r="134" spans="1:72" x14ac:dyDescent="0.2">
      <c r="A134" t="s">
        <v>72</v>
      </c>
      <c r="B134" t="s">
        <v>4429</v>
      </c>
      <c r="C134" t="s">
        <v>74</v>
      </c>
      <c r="D134" t="s">
        <v>74</v>
      </c>
      <c r="E134" t="s">
        <v>74</v>
      </c>
      <c r="F134" t="s">
        <v>4430</v>
      </c>
      <c r="G134" t="s">
        <v>74</v>
      </c>
      <c r="H134" t="s">
        <v>74</v>
      </c>
      <c r="I134" t="s">
        <v>4431</v>
      </c>
      <c r="J134" t="s">
        <v>2851</v>
      </c>
      <c r="K134" t="s">
        <v>74</v>
      </c>
      <c r="L134" t="s">
        <v>74</v>
      </c>
      <c r="M134" t="s">
        <v>78</v>
      </c>
      <c r="N134" t="s">
        <v>79</v>
      </c>
      <c r="O134" t="s">
        <v>74</v>
      </c>
      <c r="P134" t="s">
        <v>74</v>
      </c>
      <c r="Q134" t="s">
        <v>74</v>
      </c>
      <c r="R134" t="s">
        <v>74</v>
      </c>
      <c r="S134" t="s">
        <v>74</v>
      </c>
      <c r="T134" t="s">
        <v>4432</v>
      </c>
      <c r="U134" t="s">
        <v>4433</v>
      </c>
      <c r="V134" t="s">
        <v>4434</v>
      </c>
      <c r="W134" s="1" t="s">
        <v>4435</v>
      </c>
      <c r="X134" t="s">
        <v>4436</v>
      </c>
      <c r="Y134" t="s">
        <v>4437</v>
      </c>
      <c r="Z134" t="s">
        <v>4438</v>
      </c>
      <c r="AA134" t="s">
        <v>4439</v>
      </c>
      <c r="AB134" t="s">
        <v>4440</v>
      </c>
      <c r="AC134" t="s">
        <v>4441</v>
      </c>
      <c r="AD134" t="s">
        <v>4442</v>
      </c>
      <c r="AE134" t="s">
        <v>4443</v>
      </c>
      <c r="AF134" t="s">
        <v>4444</v>
      </c>
      <c r="AG134">
        <v>21</v>
      </c>
      <c r="AH134">
        <v>0</v>
      </c>
      <c r="AI134">
        <v>0</v>
      </c>
      <c r="AJ134">
        <v>1</v>
      </c>
      <c r="AK134">
        <v>4</v>
      </c>
      <c r="AL134" t="s">
        <v>1024</v>
      </c>
      <c r="AM134" t="s">
        <v>620</v>
      </c>
      <c r="AN134" t="s">
        <v>1025</v>
      </c>
      <c r="AO134" t="s">
        <v>2863</v>
      </c>
      <c r="AP134" t="s">
        <v>2864</v>
      </c>
      <c r="AQ134" t="s">
        <v>74</v>
      </c>
      <c r="AR134" t="s">
        <v>2865</v>
      </c>
      <c r="AS134" t="s">
        <v>2866</v>
      </c>
      <c r="AT134" t="s">
        <v>2641</v>
      </c>
      <c r="AU134">
        <v>2022</v>
      </c>
      <c r="AV134">
        <v>183</v>
      </c>
      <c r="AW134" t="s">
        <v>74</v>
      </c>
      <c r="AX134" t="s">
        <v>74</v>
      </c>
      <c r="AY134" t="s">
        <v>74</v>
      </c>
      <c r="AZ134" t="s">
        <v>74</v>
      </c>
      <c r="BA134" t="s">
        <v>74</v>
      </c>
      <c r="BB134" t="s">
        <v>74</v>
      </c>
      <c r="BC134" t="s">
        <v>74</v>
      </c>
      <c r="BD134">
        <v>110154</v>
      </c>
      <c r="BE134" t="s">
        <v>4445</v>
      </c>
      <c r="BF134" t="str">
        <f>HYPERLINK("http://dx.doi.org/10.1016/j.apradiso.2022.110154","http://dx.doi.org/10.1016/j.apradiso.2022.110154")</f>
        <v>http://dx.doi.org/10.1016/j.apradiso.2022.110154</v>
      </c>
      <c r="BG134" t="s">
        <v>74</v>
      </c>
      <c r="BH134" t="s">
        <v>1214</v>
      </c>
      <c r="BI134">
        <v>7</v>
      </c>
      <c r="BJ134" t="s">
        <v>2868</v>
      </c>
      <c r="BK134" t="s">
        <v>102</v>
      </c>
      <c r="BL134" t="s">
        <v>2869</v>
      </c>
      <c r="BM134" t="s">
        <v>4446</v>
      </c>
      <c r="BN134">
        <v>35217326</v>
      </c>
      <c r="BO134" t="s">
        <v>74</v>
      </c>
      <c r="BP134" t="s">
        <v>74</v>
      </c>
      <c r="BQ134" t="s">
        <v>74</v>
      </c>
      <c r="BR134" t="s">
        <v>105</v>
      </c>
      <c r="BS134" t="s">
        <v>4447</v>
      </c>
      <c r="BT134" t="str">
        <f>HYPERLINK("https%3A%2F%2Fwww.webofscience.com%2Fwos%2Fwoscc%2Ffull-record%2FWOS:000768009900002","View Full Record in Web of Science")</f>
        <v>View Full Record in Web of Science</v>
      </c>
    </row>
    <row r="135" spans="1:72" x14ac:dyDescent="0.2">
      <c r="A135" t="s">
        <v>72</v>
      </c>
      <c r="B135" t="s">
        <v>5102</v>
      </c>
      <c r="C135" t="s">
        <v>74</v>
      </c>
      <c r="D135" t="s">
        <v>74</v>
      </c>
      <c r="E135" t="s">
        <v>74</v>
      </c>
      <c r="F135" t="s">
        <v>5103</v>
      </c>
      <c r="G135" t="s">
        <v>74</v>
      </c>
      <c r="H135" t="s">
        <v>74</v>
      </c>
      <c r="I135" t="s">
        <v>5104</v>
      </c>
      <c r="J135" t="s">
        <v>862</v>
      </c>
      <c r="K135" t="s">
        <v>74</v>
      </c>
      <c r="L135" t="s">
        <v>74</v>
      </c>
      <c r="M135" t="s">
        <v>78</v>
      </c>
      <c r="N135" t="s">
        <v>79</v>
      </c>
      <c r="O135" t="s">
        <v>74</v>
      </c>
      <c r="P135" t="s">
        <v>74</v>
      </c>
      <c r="Q135" t="s">
        <v>74</v>
      </c>
      <c r="R135" t="s">
        <v>74</v>
      </c>
      <c r="S135" t="s">
        <v>74</v>
      </c>
      <c r="T135" t="s">
        <v>5105</v>
      </c>
      <c r="U135" t="s">
        <v>5106</v>
      </c>
      <c r="V135" t="s">
        <v>5107</v>
      </c>
      <c r="W135" s="1" t="s">
        <v>5108</v>
      </c>
      <c r="X135" t="s">
        <v>5109</v>
      </c>
      <c r="Y135" t="s">
        <v>4113</v>
      </c>
      <c r="Z135" t="s">
        <v>5110</v>
      </c>
      <c r="AA135" t="s">
        <v>5111</v>
      </c>
      <c r="AB135" t="s">
        <v>5112</v>
      </c>
      <c r="AC135" t="s">
        <v>5113</v>
      </c>
      <c r="AD135" t="s">
        <v>5114</v>
      </c>
      <c r="AE135" t="s">
        <v>5115</v>
      </c>
      <c r="AF135" t="s">
        <v>5116</v>
      </c>
      <c r="AG135">
        <v>38</v>
      </c>
      <c r="AH135">
        <v>0</v>
      </c>
      <c r="AI135">
        <v>0</v>
      </c>
      <c r="AJ135">
        <v>13</v>
      </c>
      <c r="AK135">
        <v>22</v>
      </c>
      <c r="AL135" t="s">
        <v>93</v>
      </c>
      <c r="AM135" t="s">
        <v>94</v>
      </c>
      <c r="AN135" t="s">
        <v>95</v>
      </c>
      <c r="AO135" t="s">
        <v>74</v>
      </c>
      <c r="AP135" t="s">
        <v>876</v>
      </c>
      <c r="AQ135" t="s">
        <v>74</v>
      </c>
      <c r="AR135" t="s">
        <v>862</v>
      </c>
      <c r="AS135" t="s">
        <v>877</v>
      </c>
      <c r="AT135" t="s">
        <v>460</v>
      </c>
      <c r="AU135">
        <v>2022</v>
      </c>
      <c r="AV135">
        <v>27</v>
      </c>
      <c r="AW135">
        <v>16</v>
      </c>
      <c r="AX135" t="s">
        <v>74</v>
      </c>
      <c r="AY135" t="s">
        <v>74</v>
      </c>
      <c r="AZ135" t="s">
        <v>74</v>
      </c>
      <c r="BA135" t="s">
        <v>74</v>
      </c>
      <c r="BB135" t="s">
        <v>74</v>
      </c>
      <c r="BC135" t="s">
        <v>74</v>
      </c>
      <c r="BD135">
        <v>5312</v>
      </c>
      <c r="BE135" t="s">
        <v>5117</v>
      </c>
      <c r="BF135" t="str">
        <f>HYPERLINK("http://dx.doi.org/10.3390/molecules27165312","http://dx.doi.org/10.3390/molecules27165312")</f>
        <v>http://dx.doi.org/10.3390/molecules27165312</v>
      </c>
      <c r="BG135" t="s">
        <v>74</v>
      </c>
      <c r="BH135" t="s">
        <v>74</v>
      </c>
      <c r="BI135">
        <v>11</v>
      </c>
      <c r="BJ135" t="s">
        <v>879</v>
      </c>
      <c r="BK135" t="s">
        <v>102</v>
      </c>
      <c r="BL135" t="s">
        <v>880</v>
      </c>
      <c r="BM135" t="s">
        <v>5118</v>
      </c>
      <c r="BN135">
        <v>36014552</v>
      </c>
      <c r="BO135" t="s">
        <v>104</v>
      </c>
      <c r="BP135" t="s">
        <v>74</v>
      </c>
      <c r="BQ135" t="s">
        <v>74</v>
      </c>
      <c r="BR135" t="s">
        <v>105</v>
      </c>
      <c r="BS135" t="s">
        <v>5119</v>
      </c>
      <c r="BT135" t="str">
        <f>HYPERLINK("https%3A%2F%2Fwww.webofscience.com%2Fwos%2Fwoscc%2Ffull-record%2FWOS:000845321300001","View Full Record in Web of Science")</f>
        <v>View Full Record in Web of Science</v>
      </c>
    </row>
    <row r="136" spans="1:72" x14ac:dyDescent="0.2">
      <c r="A136" t="s">
        <v>72</v>
      </c>
      <c r="B136" t="s">
        <v>6225</v>
      </c>
      <c r="C136" t="s">
        <v>74</v>
      </c>
      <c r="D136" t="s">
        <v>74</v>
      </c>
      <c r="E136" t="s">
        <v>74</v>
      </c>
      <c r="F136" t="s">
        <v>6226</v>
      </c>
      <c r="G136" t="s">
        <v>74</v>
      </c>
      <c r="H136" t="s">
        <v>74</v>
      </c>
      <c r="I136" t="s">
        <v>6227</v>
      </c>
      <c r="J136" t="s">
        <v>1344</v>
      </c>
      <c r="K136" t="s">
        <v>74</v>
      </c>
      <c r="L136" t="s">
        <v>74</v>
      </c>
      <c r="M136" t="s">
        <v>78</v>
      </c>
      <c r="N136" t="s">
        <v>79</v>
      </c>
      <c r="O136" t="s">
        <v>74</v>
      </c>
      <c r="P136" t="s">
        <v>74</v>
      </c>
      <c r="Q136" t="s">
        <v>74</v>
      </c>
      <c r="R136" t="s">
        <v>74</v>
      </c>
      <c r="S136" t="s">
        <v>74</v>
      </c>
      <c r="T136" t="s">
        <v>6228</v>
      </c>
      <c r="U136" t="s">
        <v>6229</v>
      </c>
      <c r="V136" t="s">
        <v>6230</v>
      </c>
      <c r="W136" s="1" t="s">
        <v>6231</v>
      </c>
      <c r="X136" t="s">
        <v>6232</v>
      </c>
      <c r="Y136" t="s">
        <v>6233</v>
      </c>
      <c r="Z136" t="s">
        <v>6234</v>
      </c>
      <c r="AA136" t="s">
        <v>74</v>
      </c>
      <c r="AB136" t="s">
        <v>6235</v>
      </c>
      <c r="AC136" t="s">
        <v>6236</v>
      </c>
      <c r="AD136" t="s">
        <v>6237</v>
      </c>
      <c r="AE136" t="s">
        <v>6238</v>
      </c>
      <c r="AF136" t="s">
        <v>6239</v>
      </c>
      <c r="AG136">
        <v>32</v>
      </c>
      <c r="AH136">
        <v>0</v>
      </c>
      <c r="AI136">
        <v>0</v>
      </c>
      <c r="AJ136">
        <v>3</v>
      </c>
      <c r="AK136">
        <v>4</v>
      </c>
      <c r="AL136" t="s">
        <v>1155</v>
      </c>
      <c r="AM136" t="s">
        <v>1156</v>
      </c>
      <c r="AN136" t="s">
        <v>1157</v>
      </c>
      <c r="AO136" t="s">
        <v>1358</v>
      </c>
      <c r="AP136" t="s">
        <v>74</v>
      </c>
      <c r="AQ136" t="s">
        <v>74</v>
      </c>
      <c r="AR136" t="s">
        <v>1344</v>
      </c>
      <c r="AS136" t="s">
        <v>1359</v>
      </c>
      <c r="AT136" t="s">
        <v>6240</v>
      </c>
      <c r="AU136">
        <v>2022</v>
      </c>
      <c r="AV136">
        <v>7</v>
      </c>
      <c r="AW136">
        <v>27</v>
      </c>
      <c r="AX136" t="s">
        <v>74</v>
      </c>
      <c r="AY136" t="s">
        <v>74</v>
      </c>
      <c r="AZ136" t="s">
        <v>74</v>
      </c>
      <c r="BA136" t="s">
        <v>74</v>
      </c>
      <c r="BB136" t="s">
        <v>74</v>
      </c>
      <c r="BC136" t="s">
        <v>74</v>
      </c>
      <c r="BD136" t="s">
        <v>6241</v>
      </c>
      <c r="BE136" t="s">
        <v>6242</v>
      </c>
      <c r="BF136" t="str">
        <f>HYPERLINK("http://dx.doi.org/10.1002/slct.202201336","http://dx.doi.org/10.1002/slct.202201336")</f>
        <v>http://dx.doi.org/10.1002/slct.202201336</v>
      </c>
      <c r="BG136" t="s">
        <v>74</v>
      </c>
      <c r="BH136" t="s">
        <v>74</v>
      </c>
      <c r="BI136">
        <v>7</v>
      </c>
      <c r="BJ136" t="s">
        <v>215</v>
      </c>
      <c r="BK136" t="s">
        <v>102</v>
      </c>
      <c r="BL136" t="s">
        <v>216</v>
      </c>
      <c r="BM136" t="s">
        <v>6243</v>
      </c>
      <c r="BN136" t="s">
        <v>74</v>
      </c>
      <c r="BO136" t="s">
        <v>74</v>
      </c>
      <c r="BP136" t="s">
        <v>74</v>
      </c>
      <c r="BQ136" t="s">
        <v>74</v>
      </c>
      <c r="BR136" t="s">
        <v>105</v>
      </c>
      <c r="BS136" t="s">
        <v>6244</v>
      </c>
      <c r="BT136" t="str">
        <f>HYPERLINK("https%3A%2F%2Fwww.webofscience.com%2Fwos%2Fwoscc%2Ffull-record%2FWOS:000827612000001","View Full Record in Web of Science")</f>
        <v>View Full Record in Web of Science</v>
      </c>
    </row>
    <row r="137" spans="1:72" x14ac:dyDescent="0.2">
      <c r="A137" t="s">
        <v>72</v>
      </c>
      <c r="B137" t="s">
        <v>2467</v>
      </c>
      <c r="C137" t="s">
        <v>74</v>
      </c>
      <c r="D137" t="s">
        <v>74</v>
      </c>
      <c r="E137" t="s">
        <v>74</v>
      </c>
      <c r="F137" t="s">
        <v>2468</v>
      </c>
      <c r="G137" t="s">
        <v>74</v>
      </c>
      <c r="H137" t="s">
        <v>74</v>
      </c>
      <c r="I137" t="s">
        <v>2469</v>
      </c>
      <c r="J137" t="s">
        <v>2284</v>
      </c>
      <c r="K137" t="s">
        <v>74</v>
      </c>
      <c r="L137" t="s">
        <v>74</v>
      </c>
      <c r="M137" t="s">
        <v>78</v>
      </c>
      <c r="N137" t="s">
        <v>79</v>
      </c>
      <c r="O137" t="s">
        <v>74</v>
      </c>
      <c r="P137" t="s">
        <v>74</v>
      </c>
      <c r="Q137" t="s">
        <v>74</v>
      </c>
      <c r="R137" t="s">
        <v>74</v>
      </c>
      <c r="S137" t="s">
        <v>74</v>
      </c>
      <c r="T137" t="s">
        <v>2470</v>
      </c>
      <c r="U137" t="s">
        <v>74</v>
      </c>
      <c r="V137" t="s">
        <v>2471</v>
      </c>
      <c r="W137" s="1" t="s">
        <v>2472</v>
      </c>
      <c r="X137" t="s">
        <v>84</v>
      </c>
      <c r="Y137" t="s">
        <v>2473</v>
      </c>
      <c r="Z137" t="s">
        <v>2474</v>
      </c>
      <c r="AA137" t="s">
        <v>74</v>
      </c>
      <c r="AB137" t="s">
        <v>74</v>
      </c>
      <c r="AC137" t="s">
        <v>74</v>
      </c>
      <c r="AD137" t="s">
        <v>74</v>
      </c>
      <c r="AE137" t="s">
        <v>74</v>
      </c>
      <c r="AF137" t="s">
        <v>2475</v>
      </c>
      <c r="AG137">
        <v>19</v>
      </c>
      <c r="AH137">
        <v>0</v>
      </c>
      <c r="AI137">
        <v>0</v>
      </c>
      <c r="AJ137">
        <v>0</v>
      </c>
      <c r="AK137">
        <v>1</v>
      </c>
      <c r="AL137" t="s">
        <v>2293</v>
      </c>
      <c r="AM137" t="s">
        <v>2294</v>
      </c>
      <c r="AN137" t="s">
        <v>2295</v>
      </c>
      <c r="AO137" t="s">
        <v>2296</v>
      </c>
      <c r="AP137" t="s">
        <v>2297</v>
      </c>
      <c r="AQ137" t="s">
        <v>74</v>
      </c>
      <c r="AR137" t="s">
        <v>2298</v>
      </c>
      <c r="AS137" t="s">
        <v>2299</v>
      </c>
      <c r="AT137" t="s">
        <v>931</v>
      </c>
      <c r="AU137">
        <v>2022</v>
      </c>
      <c r="AV137">
        <v>44</v>
      </c>
      <c r="AW137">
        <v>2</v>
      </c>
      <c r="AX137" t="s">
        <v>74</v>
      </c>
      <c r="AY137" t="s">
        <v>74</v>
      </c>
      <c r="AZ137" t="s">
        <v>74</v>
      </c>
      <c r="BA137" t="s">
        <v>74</v>
      </c>
      <c r="BB137">
        <v>161</v>
      </c>
      <c r="BC137">
        <v>182</v>
      </c>
      <c r="BD137" t="s">
        <v>74</v>
      </c>
      <c r="BE137" t="s">
        <v>2476</v>
      </c>
      <c r="BF137" t="str">
        <f>HYPERLINK("http://dx.doi.org/10.18273/revbol.v44n2-2022008","http://dx.doi.org/10.18273/revbol.v44n2-2022008")</f>
        <v>http://dx.doi.org/10.18273/revbol.v44n2-2022008</v>
      </c>
      <c r="BG137" t="s">
        <v>74</v>
      </c>
      <c r="BH137" t="s">
        <v>74</v>
      </c>
      <c r="BI137">
        <v>22</v>
      </c>
      <c r="BJ137" t="s">
        <v>2301</v>
      </c>
      <c r="BK137" t="s">
        <v>187</v>
      </c>
      <c r="BL137" t="s">
        <v>2301</v>
      </c>
      <c r="BM137" t="s">
        <v>2302</v>
      </c>
      <c r="BN137" t="s">
        <v>74</v>
      </c>
      <c r="BO137" t="s">
        <v>419</v>
      </c>
      <c r="BP137" t="s">
        <v>74</v>
      </c>
      <c r="BQ137" t="s">
        <v>74</v>
      </c>
      <c r="BR137" t="s">
        <v>105</v>
      </c>
      <c r="BS137" t="s">
        <v>2477</v>
      </c>
      <c r="BT137" t="str">
        <f>HYPERLINK("https%3A%2F%2Fwww.webofscience.com%2Fwos%2Fwoscc%2Ffull-record%2FWOS:000826221200009","View Full Record in Web of Science")</f>
        <v>View Full Record in Web of Science</v>
      </c>
    </row>
    <row r="138" spans="1:72" x14ac:dyDescent="0.2">
      <c r="A138" t="s">
        <v>72</v>
      </c>
      <c r="B138" t="s">
        <v>1113</v>
      </c>
      <c r="C138" t="s">
        <v>74</v>
      </c>
      <c r="D138" t="s">
        <v>74</v>
      </c>
      <c r="E138" t="s">
        <v>74</v>
      </c>
      <c r="F138" t="s">
        <v>1114</v>
      </c>
      <c r="G138" t="s">
        <v>74</v>
      </c>
      <c r="H138" t="s">
        <v>74</v>
      </c>
      <c r="I138" t="s">
        <v>1115</v>
      </c>
      <c r="J138" t="s">
        <v>1116</v>
      </c>
      <c r="K138" t="s">
        <v>74</v>
      </c>
      <c r="L138" t="s">
        <v>74</v>
      </c>
      <c r="M138" t="s">
        <v>78</v>
      </c>
      <c r="N138" t="s">
        <v>79</v>
      </c>
      <c r="O138" t="s">
        <v>74</v>
      </c>
      <c r="P138" t="s">
        <v>74</v>
      </c>
      <c r="Q138" t="s">
        <v>74</v>
      </c>
      <c r="R138" t="s">
        <v>74</v>
      </c>
      <c r="S138" t="s">
        <v>74</v>
      </c>
      <c r="T138" t="s">
        <v>1117</v>
      </c>
      <c r="U138" t="s">
        <v>1118</v>
      </c>
      <c r="V138" t="s">
        <v>1119</v>
      </c>
      <c r="W138" s="1" t="s">
        <v>1120</v>
      </c>
      <c r="X138" t="s">
        <v>946</v>
      </c>
      <c r="Y138" t="s">
        <v>1121</v>
      </c>
      <c r="Z138" t="s">
        <v>1122</v>
      </c>
      <c r="AA138" t="s">
        <v>74</v>
      </c>
      <c r="AB138" t="s">
        <v>1123</v>
      </c>
      <c r="AC138" t="s">
        <v>1124</v>
      </c>
      <c r="AD138" t="s">
        <v>1125</v>
      </c>
      <c r="AE138" t="s">
        <v>1126</v>
      </c>
      <c r="AF138" t="s">
        <v>1127</v>
      </c>
      <c r="AG138">
        <v>49</v>
      </c>
      <c r="AH138">
        <v>0</v>
      </c>
      <c r="AI138">
        <v>0</v>
      </c>
      <c r="AJ138">
        <v>10</v>
      </c>
      <c r="AK138">
        <v>21</v>
      </c>
      <c r="AL138" t="s">
        <v>1128</v>
      </c>
      <c r="AM138" t="s">
        <v>1129</v>
      </c>
      <c r="AN138" t="s">
        <v>1130</v>
      </c>
      <c r="AO138" t="s">
        <v>1131</v>
      </c>
      <c r="AP138" t="s">
        <v>1132</v>
      </c>
      <c r="AQ138" t="s">
        <v>74</v>
      </c>
      <c r="AR138" t="s">
        <v>1133</v>
      </c>
      <c r="AS138" t="s">
        <v>1134</v>
      </c>
      <c r="AT138" t="s">
        <v>295</v>
      </c>
      <c r="AU138">
        <v>2022</v>
      </c>
      <c r="AV138">
        <v>57</v>
      </c>
      <c r="AW138">
        <v>11</v>
      </c>
      <c r="AX138" t="s">
        <v>74</v>
      </c>
      <c r="AY138" t="s">
        <v>74</v>
      </c>
      <c r="AZ138" t="s">
        <v>1135</v>
      </c>
      <c r="BA138" t="s">
        <v>74</v>
      </c>
      <c r="BB138">
        <v>7379</v>
      </c>
      <c r="BC138">
        <v>7390</v>
      </c>
      <c r="BD138" t="s">
        <v>74</v>
      </c>
      <c r="BE138" t="s">
        <v>1136</v>
      </c>
      <c r="BF138" t="str">
        <f>HYPERLINK("http://dx.doi.org/10.1111/ijfs.16093","http://dx.doi.org/10.1111/ijfs.16093")</f>
        <v>http://dx.doi.org/10.1111/ijfs.16093</v>
      </c>
      <c r="BG138" t="s">
        <v>74</v>
      </c>
      <c r="BH138" t="s">
        <v>1137</v>
      </c>
      <c r="BI138">
        <v>12</v>
      </c>
      <c r="BJ138" t="s">
        <v>342</v>
      </c>
      <c r="BK138" t="s">
        <v>102</v>
      </c>
      <c r="BL138" t="s">
        <v>342</v>
      </c>
      <c r="BM138" t="s">
        <v>1138</v>
      </c>
      <c r="BN138" t="s">
        <v>74</v>
      </c>
      <c r="BO138" t="s">
        <v>74</v>
      </c>
      <c r="BP138" t="s">
        <v>74</v>
      </c>
      <c r="BQ138" t="s">
        <v>74</v>
      </c>
      <c r="BR138" t="s">
        <v>105</v>
      </c>
      <c r="BS138" t="s">
        <v>1139</v>
      </c>
      <c r="BT138" t="str">
        <f>HYPERLINK("https%3A%2F%2Fwww.webofscience.com%2Fwos%2Fwoscc%2Ffull-record%2FWOS:000861500500001","View Full Record in Web of Science")</f>
        <v>View Full Record in Web of Science</v>
      </c>
    </row>
    <row r="139" spans="1:72" x14ac:dyDescent="0.2">
      <c r="A139" t="s">
        <v>72</v>
      </c>
      <c r="B139" t="s">
        <v>4515</v>
      </c>
      <c r="C139" t="s">
        <v>74</v>
      </c>
      <c r="D139" t="s">
        <v>74</v>
      </c>
      <c r="E139" t="s">
        <v>74</v>
      </c>
      <c r="F139" t="s">
        <v>4516</v>
      </c>
      <c r="G139" t="s">
        <v>74</v>
      </c>
      <c r="H139" t="s">
        <v>74</v>
      </c>
      <c r="I139" t="s">
        <v>4517</v>
      </c>
      <c r="J139" t="s">
        <v>2207</v>
      </c>
      <c r="K139" t="s">
        <v>74</v>
      </c>
      <c r="L139" t="s">
        <v>74</v>
      </c>
      <c r="M139" t="s">
        <v>1517</v>
      </c>
      <c r="N139" t="s">
        <v>79</v>
      </c>
      <c r="O139" t="s">
        <v>74</v>
      </c>
      <c r="P139" t="s">
        <v>74</v>
      </c>
      <c r="Q139" t="s">
        <v>74</v>
      </c>
      <c r="R139" t="s">
        <v>74</v>
      </c>
      <c r="S139" t="s">
        <v>74</v>
      </c>
      <c r="T139" t="s">
        <v>4518</v>
      </c>
      <c r="U139" t="s">
        <v>4519</v>
      </c>
      <c r="V139" t="s">
        <v>4520</v>
      </c>
      <c r="W139" s="1" t="s">
        <v>4521</v>
      </c>
      <c r="X139" t="s">
        <v>84</v>
      </c>
      <c r="Y139" t="s">
        <v>4522</v>
      </c>
      <c r="Z139" t="s">
        <v>4523</v>
      </c>
      <c r="AA139" t="s">
        <v>74</v>
      </c>
      <c r="AB139" t="s">
        <v>74</v>
      </c>
      <c r="AC139" t="s">
        <v>74</v>
      </c>
      <c r="AD139" t="s">
        <v>74</v>
      </c>
      <c r="AE139" t="s">
        <v>74</v>
      </c>
      <c r="AF139" t="s">
        <v>4524</v>
      </c>
      <c r="AG139">
        <v>44</v>
      </c>
      <c r="AH139">
        <v>0</v>
      </c>
      <c r="AI139">
        <v>0</v>
      </c>
      <c r="AJ139">
        <v>1</v>
      </c>
      <c r="AK139">
        <v>1</v>
      </c>
      <c r="AL139" t="s">
        <v>2214</v>
      </c>
      <c r="AM139" t="s">
        <v>2215</v>
      </c>
      <c r="AN139" t="s">
        <v>2216</v>
      </c>
      <c r="AO139" t="s">
        <v>2217</v>
      </c>
      <c r="AP139" t="s">
        <v>2218</v>
      </c>
      <c r="AQ139" t="s">
        <v>74</v>
      </c>
      <c r="AR139" t="s">
        <v>2219</v>
      </c>
      <c r="AS139" t="s">
        <v>2220</v>
      </c>
      <c r="AT139" t="s">
        <v>242</v>
      </c>
      <c r="AU139">
        <v>2022</v>
      </c>
      <c r="AV139">
        <v>18</v>
      </c>
      <c r="AW139" t="s">
        <v>74</v>
      </c>
      <c r="AX139" t="s">
        <v>74</v>
      </c>
      <c r="AY139" t="s">
        <v>74</v>
      </c>
      <c r="AZ139" t="s">
        <v>74</v>
      </c>
      <c r="BA139" t="s">
        <v>74</v>
      </c>
      <c r="BB139">
        <v>1</v>
      </c>
      <c r="BC139">
        <v>29</v>
      </c>
      <c r="BD139" t="s">
        <v>74</v>
      </c>
      <c r="BE139" t="s">
        <v>4525</v>
      </c>
      <c r="BF139" t="str">
        <f>HYPERLINK("http://dx.doi.org/10.12957/childphilo.2022.61200","http://dx.doi.org/10.12957/childphilo.2022.61200")</f>
        <v>http://dx.doi.org/10.12957/childphilo.2022.61200</v>
      </c>
      <c r="BG139" t="s">
        <v>74</v>
      </c>
      <c r="BH139" t="s">
        <v>74</v>
      </c>
      <c r="BI139">
        <v>29</v>
      </c>
      <c r="BJ139" t="s">
        <v>2222</v>
      </c>
      <c r="BK139" t="s">
        <v>187</v>
      </c>
      <c r="BL139" t="s">
        <v>2222</v>
      </c>
      <c r="BM139" t="s">
        <v>4526</v>
      </c>
      <c r="BN139" t="s">
        <v>74</v>
      </c>
      <c r="BO139" t="s">
        <v>190</v>
      </c>
      <c r="BP139" t="s">
        <v>74</v>
      </c>
      <c r="BQ139" t="s">
        <v>74</v>
      </c>
      <c r="BR139" t="s">
        <v>105</v>
      </c>
      <c r="BS139" t="s">
        <v>4527</v>
      </c>
      <c r="BT139" t="str">
        <f>HYPERLINK("https%3A%2F%2Fwww.webofscience.com%2Fwos%2Fwoscc%2Ffull-record%2FWOS:000932788100001","View Full Record in Web of Science")</f>
        <v>View Full Record in Web of Science</v>
      </c>
    </row>
    <row r="140" spans="1:72" x14ac:dyDescent="0.2">
      <c r="A140" t="s">
        <v>72</v>
      </c>
      <c r="B140" t="s">
        <v>5896</v>
      </c>
      <c r="C140" t="s">
        <v>74</v>
      </c>
      <c r="D140" t="s">
        <v>74</v>
      </c>
      <c r="E140" t="s">
        <v>74</v>
      </c>
      <c r="F140" t="s">
        <v>5897</v>
      </c>
      <c r="G140" t="s">
        <v>74</v>
      </c>
      <c r="H140" t="s">
        <v>74</v>
      </c>
      <c r="I140" t="s">
        <v>5898</v>
      </c>
      <c r="J140" t="s">
        <v>5899</v>
      </c>
      <c r="K140" t="s">
        <v>74</v>
      </c>
      <c r="L140" t="s">
        <v>74</v>
      </c>
      <c r="M140" t="s">
        <v>78</v>
      </c>
      <c r="N140" t="s">
        <v>167</v>
      </c>
      <c r="O140" t="s">
        <v>74</v>
      </c>
      <c r="P140" t="s">
        <v>74</v>
      </c>
      <c r="Q140" t="s">
        <v>74</v>
      </c>
      <c r="R140" t="s">
        <v>74</v>
      </c>
      <c r="S140" t="s">
        <v>74</v>
      </c>
      <c r="T140" t="s">
        <v>5900</v>
      </c>
      <c r="U140" t="s">
        <v>5901</v>
      </c>
      <c r="V140" t="s">
        <v>5902</v>
      </c>
      <c r="W140" s="1" t="s">
        <v>5903</v>
      </c>
      <c r="X140" t="s">
        <v>5904</v>
      </c>
      <c r="Y140" t="s">
        <v>5905</v>
      </c>
      <c r="Z140" t="s">
        <v>5906</v>
      </c>
      <c r="AA140" t="s">
        <v>5907</v>
      </c>
      <c r="AB140" t="s">
        <v>5908</v>
      </c>
      <c r="AC140" t="s">
        <v>5909</v>
      </c>
      <c r="AD140" t="s">
        <v>5910</v>
      </c>
      <c r="AE140" t="s">
        <v>5911</v>
      </c>
      <c r="AF140" t="s">
        <v>5912</v>
      </c>
      <c r="AG140">
        <v>174</v>
      </c>
      <c r="AH140">
        <v>3</v>
      </c>
      <c r="AI140">
        <v>3</v>
      </c>
      <c r="AJ140">
        <v>8</v>
      </c>
      <c r="AK140">
        <v>8</v>
      </c>
      <c r="AL140" t="s">
        <v>93</v>
      </c>
      <c r="AM140" t="s">
        <v>94</v>
      </c>
      <c r="AN140" t="s">
        <v>95</v>
      </c>
      <c r="AO140" t="s">
        <v>74</v>
      </c>
      <c r="AP140" t="s">
        <v>5913</v>
      </c>
      <c r="AQ140" t="s">
        <v>74</v>
      </c>
      <c r="AR140" t="s">
        <v>5899</v>
      </c>
      <c r="AS140" t="s">
        <v>5914</v>
      </c>
      <c r="AT140" t="s">
        <v>1029</v>
      </c>
      <c r="AU140">
        <v>2023</v>
      </c>
      <c r="AV140">
        <v>11</v>
      </c>
      <c r="AW140">
        <v>2</v>
      </c>
      <c r="AX140" t="s">
        <v>74</v>
      </c>
      <c r="AY140" t="s">
        <v>74</v>
      </c>
      <c r="AZ140" t="s">
        <v>74</v>
      </c>
      <c r="BA140" t="s">
        <v>74</v>
      </c>
      <c r="BB140" t="s">
        <v>74</v>
      </c>
      <c r="BC140" t="s">
        <v>74</v>
      </c>
      <c r="BD140">
        <v>118</v>
      </c>
      <c r="BE140" t="s">
        <v>5915</v>
      </c>
      <c r="BF140" t="str">
        <f>HYPERLINK("http://dx.doi.org/10.3390/toxics11020118","http://dx.doi.org/10.3390/toxics11020118")</f>
        <v>http://dx.doi.org/10.3390/toxics11020118</v>
      </c>
      <c r="BG140" t="s">
        <v>74</v>
      </c>
      <c r="BH140" t="s">
        <v>74</v>
      </c>
      <c r="BI140">
        <v>20</v>
      </c>
      <c r="BJ140" t="s">
        <v>5916</v>
      </c>
      <c r="BK140" t="s">
        <v>102</v>
      </c>
      <c r="BL140" t="s">
        <v>5917</v>
      </c>
      <c r="BM140" t="s">
        <v>5918</v>
      </c>
      <c r="BN140">
        <v>36850993</v>
      </c>
      <c r="BO140" t="s">
        <v>131</v>
      </c>
      <c r="BP140" t="s">
        <v>74</v>
      </c>
      <c r="BQ140" t="s">
        <v>74</v>
      </c>
      <c r="BR140" t="s">
        <v>105</v>
      </c>
      <c r="BS140" t="s">
        <v>5919</v>
      </c>
      <c r="BT140" t="str">
        <f>HYPERLINK("https%3A%2F%2Fwww.webofscience.com%2Fwos%2Fwoscc%2Ffull-record%2FWOS:000940634200001","View Full Record in Web of Science")</f>
        <v>View Full Record in Web of Science</v>
      </c>
    </row>
    <row r="141" spans="1:72" x14ac:dyDescent="0.2">
      <c r="A141" t="s">
        <v>72</v>
      </c>
      <c r="B141" t="s">
        <v>6271</v>
      </c>
      <c r="C141" t="s">
        <v>74</v>
      </c>
      <c r="D141" t="s">
        <v>74</v>
      </c>
      <c r="E141" t="s">
        <v>74</v>
      </c>
      <c r="F141" t="s">
        <v>6272</v>
      </c>
      <c r="G141" t="s">
        <v>74</v>
      </c>
      <c r="H141" t="s">
        <v>74</v>
      </c>
      <c r="I141" t="s">
        <v>6273</v>
      </c>
      <c r="J141" t="s">
        <v>6274</v>
      </c>
      <c r="K141" t="s">
        <v>74</v>
      </c>
      <c r="L141" t="s">
        <v>74</v>
      </c>
      <c r="M141" t="s">
        <v>78</v>
      </c>
      <c r="N141" t="s">
        <v>79</v>
      </c>
      <c r="O141" t="s">
        <v>74</v>
      </c>
      <c r="P141" t="s">
        <v>74</v>
      </c>
      <c r="Q141" t="s">
        <v>74</v>
      </c>
      <c r="R141" t="s">
        <v>74</v>
      </c>
      <c r="S141" t="s">
        <v>74</v>
      </c>
      <c r="T141" t="s">
        <v>6275</v>
      </c>
      <c r="U141" t="s">
        <v>6276</v>
      </c>
      <c r="V141" t="s">
        <v>6277</v>
      </c>
      <c r="W141" s="1" t="s">
        <v>6278</v>
      </c>
      <c r="X141" t="s">
        <v>6279</v>
      </c>
      <c r="Y141" t="s">
        <v>6280</v>
      </c>
      <c r="Z141" t="s">
        <v>6281</v>
      </c>
      <c r="AA141" t="s">
        <v>74</v>
      </c>
      <c r="AB141" t="s">
        <v>6282</v>
      </c>
      <c r="AC141" t="s">
        <v>6283</v>
      </c>
      <c r="AD141" t="s">
        <v>6283</v>
      </c>
      <c r="AE141" t="s">
        <v>6284</v>
      </c>
      <c r="AF141" t="s">
        <v>6285</v>
      </c>
      <c r="AG141">
        <v>25</v>
      </c>
      <c r="AH141">
        <v>0</v>
      </c>
      <c r="AI141">
        <v>0</v>
      </c>
      <c r="AJ141">
        <v>0</v>
      </c>
      <c r="AK141">
        <v>0</v>
      </c>
      <c r="AL141" t="s">
        <v>6286</v>
      </c>
      <c r="AM141" t="s">
        <v>410</v>
      </c>
      <c r="AN141" t="s">
        <v>6287</v>
      </c>
      <c r="AO141" t="s">
        <v>6288</v>
      </c>
      <c r="AP141" t="s">
        <v>6289</v>
      </c>
      <c r="AQ141" t="s">
        <v>74</v>
      </c>
      <c r="AR141" t="s">
        <v>6290</v>
      </c>
      <c r="AS141" t="s">
        <v>6291</v>
      </c>
      <c r="AT141" t="s">
        <v>2778</v>
      </c>
      <c r="AU141">
        <v>2022</v>
      </c>
      <c r="AV141">
        <v>35</v>
      </c>
      <c r="AW141">
        <v>1</v>
      </c>
      <c r="AX141" t="s">
        <v>74</v>
      </c>
      <c r="AY141" t="s">
        <v>74</v>
      </c>
      <c r="AZ141" t="s">
        <v>74</v>
      </c>
      <c r="BA141" t="s">
        <v>74</v>
      </c>
      <c r="BB141">
        <v>3</v>
      </c>
      <c r="BC141">
        <v>13</v>
      </c>
      <c r="BD141" t="s">
        <v>74</v>
      </c>
      <c r="BE141" t="s">
        <v>6292</v>
      </c>
      <c r="BF141" t="str">
        <f>HYPERLINK("http://dx.doi.org/10.17533/udea.rccp.v35n1a01","http://dx.doi.org/10.17533/udea.rccp.v35n1a01")</f>
        <v>http://dx.doi.org/10.17533/udea.rccp.v35n1a01</v>
      </c>
      <c r="BG141" t="s">
        <v>74</v>
      </c>
      <c r="BH141" t="s">
        <v>74</v>
      </c>
      <c r="BI141">
        <v>11</v>
      </c>
      <c r="BJ141" t="s">
        <v>2361</v>
      </c>
      <c r="BK141" t="s">
        <v>102</v>
      </c>
      <c r="BL141" t="s">
        <v>160</v>
      </c>
      <c r="BM141" t="s">
        <v>6293</v>
      </c>
      <c r="BN141" t="s">
        <v>74</v>
      </c>
      <c r="BO141" t="s">
        <v>131</v>
      </c>
      <c r="BP141" t="s">
        <v>74</v>
      </c>
      <c r="BQ141" t="s">
        <v>74</v>
      </c>
      <c r="BR141" t="s">
        <v>105</v>
      </c>
      <c r="BS141" t="s">
        <v>6294</v>
      </c>
      <c r="BT141" t="str">
        <f>HYPERLINK("https%3A%2F%2Fwww.webofscience.com%2Fwos%2Fwoscc%2Ffull-record%2FWOS:000819848200001","View Full Record in Web of Science")</f>
        <v>View Full Record in Web of Science</v>
      </c>
    </row>
    <row r="142" spans="1:72" x14ac:dyDescent="0.2">
      <c r="A142" t="s">
        <v>72</v>
      </c>
      <c r="B142" t="s">
        <v>2341</v>
      </c>
      <c r="C142" t="s">
        <v>74</v>
      </c>
      <c r="D142" t="s">
        <v>74</v>
      </c>
      <c r="E142" t="s">
        <v>74</v>
      </c>
      <c r="F142" t="s">
        <v>2342</v>
      </c>
      <c r="G142" t="s">
        <v>74</v>
      </c>
      <c r="H142" t="s">
        <v>74</v>
      </c>
      <c r="I142" t="s">
        <v>2343</v>
      </c>
      <c r="J142" t="s">
        <v>2344</v>
      </c>
      <c r="K142" t="s">
        <v>74</v>
      </c>
      <c r="L142" t="s">
        <v>74</v>
      </c>
      <c r="M142" t="s">
        <v>1517</v>
      </c>
      <c r="N142" t="s">
        <v>79</v>
      </c>
      <c r="O142" t="s">
        <v>74</v>
      </c>
      <c r="P142" t="s">
        <v>74</v>
      </c>
      <c r="Q142" t="s">
        <v>74</v>
      </c>
      <c r="R142" t="s">
        <v>74</v>
      </c>
      <c r="S142" t="s">
        <v>74</v>
      </c>
      <c r="T142" t="s">
        <v>2345</v>
      </c>
      <c r="U142" t="s">
        <v>2346</v>
      </c>
      <c r="V142" t="s">
        <v>2347</v>
      </c>
      <c r="W142" s="1" t="s">
        <v>2348</v>
      </c>
      <c r="X142" t="s">
        <v>142</v>
      </c>
      <c r="Y142" t="s">
        <v>2349</v>
      </c>
      <c r="Z142" t="s">
        <v>2350</v>
      </c>
      <c r="AA142" t="s">
        <v>74</v>
      </c>
      <c r="AB142" t="s">
        <v>74</v>
      </c>
      <c r="AC142" t="s">
        <v>74</v>
      </c>
      <c r="AD142" t="s">
        <v>74</v>
      </c>
      <c r="AE142" t="s">
        <v>74</v>
      </c>
      <c r="AF142" t="s">
        <v>2351</v>
      </c>
      <c r="AG142">
        <v>31</v>
      </c>
      <c r="AH142">
        <v>0</v>
      </c>
      <c r="AI142">
        <v>0</v>
      </c>
      <c r="AJ142">
        <v>0</v>
      </c>
      <c r="AK142">
        <v>0</v>
      </c>
      <c r="AL142" t="s">
        <v>2352</v>
      </c>
      <c r="AM142" t="s">
        <v>2353</v>
      </c>
      <c r="AN142" t="s">
        <v>2354</v>
      </c>
      <c r="AO142" t="s">
        <v>2355</v>
      </c>
      <c r="AP142" t="s">
        <v>2356</v>
      </c>
      <c r="AQ142" t="s">
        <v>74</v>
      </c>
      <c r="AR142" t="s">
        <v>2357</v>
      </c>
      <c r="AS142" t="s">
        <v>2358</v>
      </c>
      <c r="AT142" t="s">
        <v>2068</v>
      </c>
      <c r="AU142">
        <v>2022</v>
      </c>
      <c r="AV142">
        <v>27</v>
      </c>
      <c r="AW142">
        <v>3</v>
      </c>
      <c r="AX142" t="s">
        <v>74</v>
      </c>
      <c r="AY142" t="s">
        <v>74</v>
      </c>
      <c r="AZ142" t="s">
        <v>74</v>
      </c>
      <c r="BA142" t="s">
        <v>74</v>
      </c>
      <c r="BB142" t="s">
        <v>74</v>
      </c>
      <c r="BC142" t="s">
        <v>74</v>
      </c>
      <c r="BD142" t="s">
        <v>2359</v>
      </c>
      <c r="BE142" t="s">
        <v>2360</v>
      </c>
      <c r="BF142" t="str">
        <f>HYPERLINK("http://dx.doi.org/10.21897/rmvz.2440","http://dx.doi.org/10.21897/rmvz.2440")</f>
        <v>http://dx.doi.org/10.21897/rmvz.2440</v>
      </c>
      <c r="BG142" t="s">
        <v>74</v>
      </c>
      <c r="BH142" t="s">
        <v>74</v>
      </c>
      <c r="BI142">
        <v>9</v>
      </c>
      <c r="BJ142" t="s">
        <v>2361</v>
      </c>
      <c r="BK142" t="s">
        <v>102</v>
      </c>
      <c r="BL142" t="s">
        <v>160</v>
      </c>
      <c r="BM142" t="s">
        <v>2362</v>
      </c>
      <c r="BN142" t="s">
        <v>74</v>
      </c>
      <c r="BO142" t="s">
        <v>190</v>
      </c>
      <c r="BP142" t="s">
        <v>74</v>
      </c>
      <c r="BQ142" t="s">
        <v>74</v>
      </c>
      <c r="BR142" t="s">
        <v>105</v>
      </c>
      <c r="BS142" t="s">
        <v>2363</v>
      </c>
      <c r="BT142" t="str">
        <f>HYPERLINK("https%3A%2F%2Fwww.webofscience.com%2Fwos%2Fwoscc%2Ffull-record%2FWOS:000948079100003","View Full Record in Web of Science")</f>
        <v>View Full Record in Web of Science</v>
      </c>
    </row>
    <row r="143" spans="1:72" x14ac:dyDescent="0.2">
      <c r="A143" t="s">
        <v>72</v>
      </c>
      <c r="B143" t="s">
        <v>5589</v>
      </c>
      <c r="C143" t="s">
        <v>74</v>
      </c>
      <c r="D143" t="s">
        <v>74</v>
      </c>
      <c r="E143" t="s">
        <v>74</v>
      </c>
      <c r="F143" t="s">
        <v>5590</v>
      </c>
      <c r="G143" t="s">
        <v>74</v>
      </c>
      <c r="H143" t="s">
        <v>74</v>
      </c>
      <c r="I143" t="s">
        <v>5591</v>
      </c>
      <c r="J143" t="s">
        <v>4216</v>
      </c>
      <c r="K143" t="s">
        <v>74</v>
      </c>
      <c r="L143" t="s">
        <v>74</v>
      </c>
      <c r="M143" t="s">
        <v>78</v>
      </c>
      <c r="N143" t="s">
        <v>79</v>
      </c>
      <c r="O143" t="s">
        <v>74</v>
      </c>
      <c r="P143" t="s">
        <v>74</v>
      </c>
      <c r="Q143" t="s">
        <v>74</v>
      </c>
      <c r="R143" t="s">
        <v>74</v>
      </c>
      <c r="S143" t="s">
        <v>74</v>
      </c>
      <c r="T143" t="s">
        <v>5592</v>
      </c>
      <c r="U143" t="s">
        <v>5593</v>
      </c>
      <c r="V143" t="s">
        <v>5594</v>
      </c>
      <c r="W143" s="1" t="s">
        <v>5595</v>
      </c>
      <c r="X143" t="s">
        <v>5596</v>
      </c>
      <c r="Y143" t="s">
        <v>5597</v>
      </c>
      <c r="Z143" t="s">
        <v>5598</v>
      </c>
      <c r="AA143" t="s">
        <v>5599</v>
      </c>
      <c r="AB143" t="s">
        <v>5600</v>
      </c>
      <c r="AC143" t="s">
        <v>5601</v>
      </c>
      <c r="AD143" t="s">
        <v>5601</v>
      </c>
      <c r="AE143" t="s">
        <v>5602</v>
      </c>
      <c r="AF143" t="s">
        <v>5603</v>
      </c>
      <c r="AG143">
        <v>107</v>
      </c>
      <c r="AH143">
        <v>0</v>
      </c>
      <c r="AI143">
        <v>0</v>
      </c>
      <c r="AJ143">
        <v>2</v>
      </c>
      <c r="AK143">
        <v>7</v>
      </c>
      <c r="AL143" t="s">
        <v>93</v>
      </c>
      <c r="AM143" t="s">
        <v>94</v>
      </c>
      <c r="AN143" t="s">
        <v>95</v>
      </c>
      <c r="AO143" t="s">
        <v>74</v>
      </c>
      <c r="AP143" t="s">
        <v>4227</v>
      </c>
      <c r="AQ143" t="s">
        <v>74</v>
      </c>
      <c r="AR143" t="s">
        <v>4216</v>
      </c>
      <c r="AS143" t="s">
        <v>4228</v>
      </c>
      <c r="AT143" t="s">
        <v>2641</v>
      </c>
      <c r="AU143">
        <v>2022</v>
      </c>
      <c r="AV143">
        <v>12</v>
      </c>
      <c r="AW143">
        <v>5</v>
      </c>
      <c r="AX143" t="s">
        <v>74</v>
      </c>
      <c r="AY143" t="s">
        <v>74</v>
      </c>
      <c r="AZ143" t="s">
        <v>74</v>
      </c>
      <c r="BA143" t="s">
        <v>74</v>
      </c>
      <c r="BB143" t="s">
        <v>74</v>
      </c>
      <c r="BC143" t="s">
        <v>74</v>
      </c>
      <c r="BD143">
        <v>1159</v>
      </c>
      <c r="BE143" t="s">
        <v>5604</v>
      </c>
      <c r="BF143" t="str">
        <f>HYPERLINK("http://dx.doi.org/10.3390/agronomy12051159","http://dx.doi.org/10.3390/agronomy12051159")</f>
        <v>http://dx.doi.org/10.3390/agronomy12051159</v>
      </c>
      <c r="BG143" t="s">
        <v>74</v>
      </c>
      <c r="BH143" t="s">
        <v>74</v>
      </c>
      <c r="BI143">
        <v>15</v>
      </c>
      <c r="BJ143" t="s">
        <v>2162</v>
      </c>
      <c r="BK143" t="s">
        <v>102</v>
      </c>
      <c r="BL143" t="s">
        <v>2163</v>
      </c>
      <c r="BM143" t="s">
        <v>5605</v>
      </c>
      <c r="BN143" t="s">
        <v>74</v>
      </c>
      <c r="BO143" t="s">
        <v>190</v>
      </c>
      <c r="BP143" t="s">
        <v>74</v>
      </c>
      <c r="BQ143" t="s">
        <v>74</v>
      </c>
      <c r="BR143" t="s">
        <v>105</v>
      </c>
      <c r="BS143" t="s">
        <v>5606</v>
      </c>
      <c r="BT143" t="str">
        <f>HYPERLINK("https%3A%2F%2Fwww.webofscience.com%2Fwos%2Fwoscc%2Ffull-record%2FWOS:000801923100001","View Full Record in Web of Science")</f>
        <v>View Full Record in Web of Science</v>
      </c>
    </row>
    <row r="144" spans="1:72" x14ac:dyDescent="0.2">
      <c r="A144" t="s">
        <v>72</v>
      </c>
      <c r="B144" t="s">
        <v>3095</v>
      </c>
      <c r="C144" t="s">
        <v>74</v>
      </c>
      <c r="D144" t="s">
        <v>74</v>
      </c>
      <c r="E144" t="s">
        <v>74</v>
      </c>
      <c r="F144" t="s">
        <v>3096</v>
      </c>
      <c r="G144" t="s">
        <v>74</v>
      </c>
      <c r="H144" t="s">
        <v>74</v>
      </c>
      <c r="I144" t="s">
        <v>3097</v>
      </c>
      <c r="J144" t="s">
        <v>3098</v>
      </c>
      <c r="K144" t="s">
        <v>74</v>
      </c>
      <c r="L144" t="s">
        <v>74</v>
      </c>
      <c r="M144" t="s">
        <v>78</v>
      </c>
      <c r="N144" t="s">
        <v>79</v>
      </c>
      <c r="O144" t="s">
        <v>74</v>
      </c>
      <c r="P144" t="s">
        <v>74</v>
      </c>
      <c r="Q144" t="s">
        <v>74</v>
      </c>
      <c r="R144" t="s">
        <v>74</v>
      </c>
      <c r="S144" t="s">
        <v>74</v>
      </c>
      <c r="T144" t="s">
        <v>3099</v>
      </c>
      <c r="U144" t="s">
        <v>3100</v>
      </c>
      <c r="V144" t="s">
        <v>3101</v>
      </c>
      <c r="W144" s="1" t="s">
        <v>3102</v>
      </c>
      <c r="X144" t="s">
        <v>3103</v>
      </c>
      <c r="Y144" t="s">
        <v>3104</v>
      </c>
      <c r="Z144" t="s">
        <v>3105</v>
      </c>
      <c r="AA144" t="s">
        <v>3106</v>
      </c>
      <c r="AB144" t="s">
        <v>3107</v>
      </c>
      <c r="AC144" t="s">
        <v>3108</v>
      </c>
      <c r="AD144" t="s">
        <v>3109</v>
      </c>
      <c r="AE144" t="s">
        <v>3110</v>
      </c>
      <c r="AF144" t="s">
        <v>3111</v>
      </c>
      <c r="AG144">
        <v>33</v>
      </c>
      <c r="AH144">
        <v>0</v>
      </c>
      <c r="AI144">
        <v>0</v>
      </c>
      <c r="AJ144">
        <v>0</v>
      </c>
      <c r="AK144">
        <v>0</v>
      </c>
      <c r="AL144" t="s">
        <v>3112</v>
      </c>
      <c r="AM144" t="s">
        <v>3113</v>
      </c>
      <c r="AN144" t="s">
        <v>3114</v>
      </c>
      <c r="AO144" t="s">
        <v>3115</v>
      </c>
      <c r="AP144" t="s">
        <v>3116</v>
      </c>
      <c r="AQ144" t="s">
        <v>74</v>
      </c>
      <c r="AR144" t="s">
        <v>3117</v>
      </c>
      <c r="AS144" t="s">
        <v>3118</v>
      </c>
      <c r="AT144" t="s">
        <v>3119</v>
      </c>
      <c r="AU144">
        <v>2023</v>
      </c>
      <c r="AV144">
        <v>518</v>
      </c>
      <c r="AW144">
        <v>1</v>
      </c>
      <c r="AX144" t="s">
        <v>74</v>
      </c>
      <c r="AY144" t="s">
        <v>74</v>
      </c>
      <c r="AZ144" t="s">
        <v>74</v>
      </c>
      <c r="BA144" t="s">
        <v>74</v>
      </c>
      <c r="BB144" t="s">
        <v>74</v>
      </c>
      <c r="BC144" t="s">
        <v>74</v>
      </c>
      <c r="BD144">
        <v>126674</v>
      </c>
      <c r="BE144" t="s">
        <v>3120</v>
      </c>
      <c r="BF144" t="str">
        <f>HYPERLINK("http://dx.doi.org/10.1016/j.jmaa.2022.126674","http://dx.doi.org/10.1016/j.jmaa.2022.126674")</f>
        <v>http://dx.doi.org/10.1016/j.jmaa.2022.126674</v>
      </c>
      <c r="BG144" t="s">
        <v>74</v>
      </c>
      <c r="BH144" t="s">
        <v>74</v>
      </c>
      <c r="BI144">
        <v>21</v>
      </c>
      <c r="BJ144" t="s">
        <v>3121</v>
      </c>
      <c r="BK144" t="s">
        <v>102</v>
      </c>
      <c r="BL144" t="s">
        <v>576</v>
      </c>
      <c r="BM144" t="s">
        <v>3122</v>
      </c>
      <c r="BN144" t="s">
        <v>74</v>
      </c>
      <c r="BO144" t="s">
        <v>74</v>
      </c>
      <c r="BP144" t="s">
        <v>74</v>
      </c>
      <c r="BQ144" t="s">
        <v>74</v>
      </c>
      <c r="BR144" t="s">
        <v>105</v>
      </c>
      <c r="BS144" t="s">
        <v>3123</v>
      </c>
      <c r="BT144" t="str">
        <f>HYPERLINK("https%3A%2F%2Fwww.webofscience.com%2Fwos%2Fwoscc%2Ffull-record%2FWOS:000875317100027","View Full Record in Web of Science")</f>
        <v>View Full Record in Web of Science</v>
      </c>
    </row>
    <row r="145" spans="1:72" x14ac:dyDescent="0.2">
      <c r="A145" t="s">
        <v>72</v>
      </c>
      <c r="B145" t="s">
        <v>2556</v>
      </c>
      <c r="C145" t="s">
        <v>74</v>
      </c>
      <c r="D145" t="s">
        <v>74</v>
      </c>
      <c r="E145" t="s">
        <v>74</v>
      </c>
      <c r="F145" t="s">
        <v>2557</v>
      </c>
      <c r="G145" t="s">
        <v>74</v>
      </c>
      <c r="H145" t="s">
        <v>74</v>
      </c>
      <c r="I145" t="s">
        <v>2558</v>
      </c>
      <c r="J145" t="s">
        <v>2559</v>
      </c>
      <c r="K145" t="s">
        <v>74</v>
      </c>
      <c r="L145" t="s">
        <v>74</v>
      </c>
      <c r="M145" t="s">
        <v>1517</v>
      </c>
      <c r="N145" t="s">
        <v>79</v>
      </c>
      <c r="O145" t="s">
        <v>74</v>
      </c>
      <c r="P145" t="s">
        <v>74</v>
      </c>
      <c r="Q145" t="s">
        <v>74</v>
      </c>
      <c r="R145" t="s">
        <v>74</v>
      </c>
      <c r="S145" t="s">
        <v>74</v>
      </c>
      <c r="T145" t="s">
        <v>2560</v>
      </c>
      <c r="U145" t="s">
        <v>74</v>
      </c>
      <c r="V145" t="s">
        <v>2561</v>
      </c>
      <c r="W145" s="1" t="s">
        <v>2562</v>
      </c>
      <c r="X145" t="s">
        <v>84</v>
      </c>
      <c r="Y145" t="s">
        <v>2563</v>
      </c>
      <c r="Z145" t="s">
        <v>2564</v>
      </c>
      <c r="AA145" t="s">
        <v>74</v>
      </c>
      <c r="AB145" t="s">
        <v>2565</v>
      </c>
      <c r="AC145" t="s">
        <v>74</v>
      </c>
      <c r="AD145" t="s">
        <v>74</v>
      </c>
      <c r="AE145" t="s">
        <v>74</v>
      </c>
      <c r="AF145" t="s">
        <v>2566</v>
      </c>
      <c r="AG145">
        <v>38</v>
      </c>
      <c r="AH145">
        <v>0</v>
      </c>
      <c r="AI145">
        <v>0</v>
      </c>
      <c r="AJ145">
        <v>0</v>
      </c>
      <c r="AK145">
        <v>0</v>
      </c>
      <c r="AL145" t="s">
        <v>2567</v>
      </c>
      <c r="AM145" t="s">
        <v>2568</v>
      </c>
      <c r="AN145" t="s">
        <v>2569</v>
      </c>
      <c r="AO145" t="s">
        <v>2570</v>
      </c>
      <c r="AP145" t="s">
        <v>2571</v>
      </c>
      <c r="AQ145" t="s">
        <v>74</v>
      </c>
      <c r="AR145" t="s">
        <v>2572</v>
      </c>
      <c r="AS145" t="s">
        <v>2573</v>
      </c>
      <c r="AT145" t="s">
        <v>1487</v>
      </c>
      <c r="AU145">
        <v>2022</v>
      </c>
      <c r="AV145">
        <v>17</v>
      </c>
      <c r="AW145">
        <v>2</v>
      </c>
      <c r="AX145" t="s">
        <v>74</v>
      </c>
      <c r="AY145" t="s">
        <v>74</v>
      </c>
      <c r="AZ145" t="s">
        <v>74</v>
      </c>
      <c r="BA145" t="s">
        <v>74</v>
      </c>
      <c r="BB145">
        <v>208</v>
      </c>
      <c r="BC145">
        <v>223</v>
      </c>
      <c r="BD145" t="s">
        <v>74</v>
      </c>
      <c r="BE145" t="s">
        <v>2574</v>
      </c>
      <c r="BF145" t="str">
        <f>HYPERLINK("http://dx.doi.org/10.17163/alt.v17n2.2022.04","http://dx.doi.org/10.17163/alt.v17n2.2022.04")</f>
        <v>http://dx.doi.org/10.17163/alt.v17n2.2022.04</v>
      </c>
      <c r="BG145" t="s">
        <v>74</v>
      </c>
      <c r="BH145" t="s">
        <v>74</v>
      </c>
      <c r="BI145">
        <v>16</v>
      </c>
      <c r="BJ145" t="s">
        <v>963</v>
      </c>
      <c r="BK145" t="s">
        <v>187</v>
      </c>
      <c r="BL145" t="s">
        <v>963</v>
      </c>
      <c r="BM145" t="s">
        <v>2575</v>
      </c>
      <c r="BN145" t="s">
        <v>74</v>
      </c>
      <c r="BO145" t="s">
        <v>1111</v>
      </c>
      <c r="BP145" t="s">
        <v>74</v>
      </c>
      <c r="BQ145" t="s">
        <v>74</v>
      </c>
      <c r="BR145" t="s">
        <v>105</v>
      </c>
      <c r="BS145" t="s">
        <v>2576</v>
      </c>
      <c r="BT145" t="str">
        <f>HYPERLINK("https%3A%2F%2Fwww.webofscience.com%2Fwos%2Fwoscc%2Ffull-record%2FWOS:000823732000005","View Full Record in Web of Science")</f>
        <v>View Full Record in Web of Science</v>
      </c>
    </row>
    <row r="146" spans="1:72" x14ac:dyDescent="0.2">
      <c r="A146" t="s">
        <v>72</v>
      </c>
      <c r="B146" t="s">
        <v>4475</v>
      </c>
      <c r="C146" t="s">
        <v>74</v>
      </c>
      <c r="D146" t="s">
        <v>74</v>
      </c>
      <c r="E146" t="s">
        <v>74</v>
      </c>
      <c r="F146" t="s">
        <v>4476</v>
      </c>
      <c r="G146" t="s">
        <v>74</v>
      </c>
      <c r="H146" t="s">
        <v>74</v>
      </c>
      <c r="I146" t="s">
        <v>4477</v>
      </c>
      <c r="J146" t="s">
        <v>4478</v>
      </c>
      <c r="K146" t="s">
        <v>74</v>
      </c>
      <c r="L146" t="s">
        <v>74</v>
      </c>
      <c r="M146" t="s">
        <v>78</v>
      </c>
      <c r="N146" t="s">
        <v>79</v>
      </c>
      <c r="O146" t="s">
        <v>74</v>
      </c>
      <c r="P146" t="s">
        <v>74</v>
      </c>
      <c r="Q146" t="s">
        <v>74</v>
      </c>
      <c r="R146" t="s">
        <v>74</v>
      </c>
      <c r="S146" t="s">
        <v>74</v>
      </c>
      <c r="T146" t="s">
        <v>4479</v>
      </c>
      <c r="U146" t="s">
        <v>4480</v>
      </c>
      <c r="V146" t="s">
        <v>4481</v>
      </c>
      <c r="W146" s="1" t="s">
        <v>4482</v>
      </c>
      <c r="X146" t="s">
        <v>4483</v>
      </c>
      <c r="Y146" t="s">
        <v>4484</v>
      </c>
      <c r="Z146" t="s">
        <v>4485</v>
      </c>
      <c r="AA146" t="s">
        <v>74</v>
      </c>
      <c r="AB146" t="s">
        <v>74</v>
      </c>
      <c r="AC146" t="s">
        <v>74</v>
      </c>
      <c r="AD146" t="s">
        <v>74</v>
      </c>
      <c r="AE146" t="s">
        <v>74</v>
      </c>
      <c r="AF146" t="s">
        <v>4486</v>
      </c>
      <c r="AG146">
        <v>15</v>
      </c>
      <c r="AH146">
        <v>0</v>
      </c>
      <c r="AI146">
        <v>0</v>
      </c>
      <c r="AJ146">
        <v>0</v>
      </c>
      <c r="AK146">
        <v>0</v>
      </c>
      <c r="AL146" t="s">
        <v>4487</v>
      </c>
      <c r="AM146" t="s">
        <v>151</v>
      </c>
      <c r="AN146" t="s">
        <v>4488</v>
      </c>
      <c r="AO146" t="s">
        <v>4489</v>
      </c>
      <c r="AP146" t="s">
        <v>4490</v>
      </c>
      <c r="AQ146" t="s">
        <v>74</v>
      </c>
      <c r="AR146" t="s">
        <v>4491</v>
      </c>
      <c r="AS146" t="s">
        <v>4492</v>
      </c>
      <c r="AT146" t="s">
        <v>126</v>
      </c>
      <c r="AU146">
        <v>2022</v>
      </c>
      <c r="AV146">
        <v>14</v>
      </c>
      <c r="AW146">
        <v>2</v>
      </c>
      <c r="AX146" t="s">
        <v>74</v>
      </c>
      <c r="AY146" t="s">
        <v>74</v>
      </c>
      <c r="AZ146" t="s">
        <v>74</v>
      </c>
      <c r="BA146" t="s">
        <v>74</v>
      </c>
      <c r="BB146">
        <v>103</v>
      </c>
      <c r="BC146">
        <v>115</v>
      </c>
      <c r="BD146" t="s">
        <v>74</v>
      </c>
      <c r="BE146" t="s">
        <v>4493</v>
      </c>
      <c r="BF146" t="str">
        <f>HYPERLINK("http://dx.doi.org/10.1134/S2070046622020029","http://dx.doi.org/10.1134/S2070046622020029")</f>
        <v>http://dx.doi.org/10.1134/S2070046622020029</v>
      </c>
      <c r="BG146" t="s">
        <v>74</v>
      </c>
      <c r="BH146" t="s">
        <v>74</v>
      </c>
      <c r="BI146">
        <v>13</v>
      </c>
      <c r="BJ146" t="s">
        <v>3486</v>
      </c>
      <c r="BK146" t="s">
        <v>187</v>
      </c>
      <c r="BL146" t="s">
        <v>576</v>
      </c>
      <c r="BM146" t="s">
        <v>4494</v>
      </c>
      <c r="BN146" t="s">
        <v>74</v>
      </c>
      <c r="BO146" t="s">
        <v>74</v>
      </c>
      <c r="BP146" t="s">
        <v>74</v>
      </c>
      <c r="BQ146" t="s">
        <v>74</v>
      </c>
      <c r="BR146" t="s">
        <v>105</v>
      </c>
      <c r="BS146" t="s">
        <v>4495</v>
      </c>
      <c r="BT146" t="str">
        <f>HYPERLINK("https%3A%2F%2Fwww.webofscience.com%2Fwos%2Fwoscc%2Ffull-record%2FWOS:000800954800002","View Full Record in Web of Science")</f>
        <v>View Full Record in Web of Science</v>
      </c>
    </row>
    <row r="147" spans="1:72" x14ac:dyDescent="0.2">
      <c r="A147" t="s">
        <v>72</v>
      </c>
      <c r="B147" t="s">
        <v>3074</v>
      </c>
      <c r="C147" t="s">
        <v>74</v>
      </c>
      <c r="D147" t="s">
        <v>74</v>
      </c>
      <c r="E147" t="s">
        <v>74</v>
      </c>
      <c r="F147" t="s">
        <v>3075</v>
      </c>
      <c r="G147" t="s">
        <v>74</v>
      </c>
      <c r="H147" t="s">
        <v>74</v>
      </c>
      <c r="I147" t="s">
        <v>3076</v>
      </c>
      <c r="J147" t="s">
        <v>3077</v>
      </c>
      <c r="K147" t="s">
        <v>74</v>
      </c>
      <c r="L147" t="s">
        <v>74</v>
      </c>
      <c r="M147" t="s">
        <v>78</v>
      </c>
      <c r="N147" t="s">
        <v>79</v>
      </c>
      <c r="O147" t="s">
        <v>74</v>
      </c>
      <c r="P147" t="s">
        <v>74</v>
      </c>
      <c r="Q147" t="s">
        <v>74</v>
      </c>
      <c r="R147" t="s">
        <v>74</v>
      </c>
      <c r="S147" t="s">
        <v>74</v>
      </c>
      <c r="T147" t="s">
        <v>3078</v>
      </c>
      <c r="U147" t="s">
        <v>3079</v>
      </c>
      <c r="V147" t="s">
        <v>3080</v>
      </c>
      <c r="W147" s="1" t="s">
        <v>3081</v>
      </c>
      <c r="X147" t="s">
        <v>3082</v>
      </c>
      <c r="Y147" t="s">
        <v>3083</v>
      </c>
      <c r="Z147" t="s">
        <v>3084</v>
      </c>
      <c r="AA147" t="s">
        <v>3085</v>
      </c>
      <c r="AB147" t="s">
        <v>3086</v>
      </c>
      <c r="AC147" t="s">
        <v>74</v>
      </c>
      <c r="AD147" t="s">
        <v>74</v>
      </c>
      <c r="AE147" t="s">
        <v>74</v>
      </c>
      <c r="AF147" t="s">
        <v>3087</v>
      </c>
      <c r="AG147">
        <v>64</v>
      </c>
      <c r="AH147">
        <v>0</v>
      </c>
      <c r="AI147">
        <v>0</v>
      </c>
      <c r="AJ147">
        <v>0</v>
      </c>
      <c r="AK147">
        <v>6</v>
      </c>
      <c r="AL147" t="s">
        <v>619</v>
      </c>
      <c r="AM147" t="s">
        <v>620</v>
      </c>
      <c r="AN147" t="s">
        <v>621</v>
      </c>
      <c r="AO147" t="s">
        <v>3088</v>
      </c>
      <c r="AP147" t="s">
        <v>3089</v>
      </c>
      <c r="AQ147" t="s">
        <v>74</v>
      </c>
      <c r="AR147" t="s">
        <v>3090</v>
      </c>
      <c r="AS147" t="s">
        <v>3091</v>
      </c>
      <c r="AT147" t="s">
        <v>476</v>
      </c>
      <c r="AU147">
        <v>2022</v>
      </c>
      <c r="AV147">
        <v>70</v>
      </c>
      <c r="AW147" t="s">
        <v>74</v>
      </c>
      <c r="AX147" t="s">
        <v>74</v>
      </c>
      <c r="AY147" t="s">
        <v>74</v>
      </c>
      <c r="AZ147" t="s">
        <v>74</v>
      </c>
      <c r="BA147" t="s">
        <v>74</v>
      </c>
      <c r="BB147" t="s">
        <v>74</v>
      </c>
      <c r="BC147" t="s">
        <v>74</v>
      </c>
      <c r="BD147">
        <v>101192</v>
      </c>
      <c r="BE147" t="s">
        <v>3092</v>
      </c>
      <c r="BF147" t="str">
        <f>HYPERLINK("http://dx.doi.org/10.1016/j.asd.2022.101192","http://dx.doi.org/10.1016/j.asd.2022.101192")</f>
        <v>http://dx.doi.org/10.1016/j.asd.2022.101192</v>
      </c>
      <c r="BG147" t="s">
        <v>74</v>
      </c>
      <c r="BH147" t="s">
        <v>501</v>
      </c>
      <c r="BI147">
        <v>15</v>
      </c>
      <c r="BJ147" t="s">
        <v>1338</v>
      </c>
      <c r="BK147" t="s">
        <v>102</v>
      </c>
      <c r="BL147" t="s">
        <v>1338</v>
      </c>
      <c r="BM147" t="s">
        <v>3093</v>
      </c>
      <c r="BN147">
        <v>35863120</v>
      </c>
      <c r="BO147" t="s">
        <v>74</v>
      </c>
      <c r="BP147" t="s">
        <v>74</v>
      </c>
      <c r="BQ147" t="s">
        <v>74</v>
      </c>
      <c r="BR147" t="s">
        <v>105</v>
      </c>
      <c r="BS147" t="s">
        <v>3094</v>
      </c>
      <c r="BT147" t="str">
        <f>HYPERLINK("https%3A%2F%2Fwww.webofscience.com%2Fwos%2Fwoscc%2Ffull-record%2FWOS:000837831500002","View Full Record in Web of Science")</f>
        <v>View Full Record in Web of Science</v>
      </c>
    </row>
    <row r="148" spans="1:72" x14ac:dyDescent="0.2">
      <c r="A148" t="s">
        <v>72</v>
      </c>
      <c r="B148" t="s">
        <v>5523</v>
      </c>
      <c r="C148" t="s">
        <v>74</v>
      </c>
      <c r="D148" t="s">
        <v>74</v>
      </c>
      <c r="E148" t="s">
        <v>74</v>
      </c>
      <c r="F148" t="s">
        <v>5524</v>
      </c>
      <c r="G148" t="s">
        <v>74</v>
      </c>
      <c r="H148" t="s">
        <v>74</v>
      </c>
      <c r="I148" t="s">
        <v>5525</v>
      </c>
      <c r="J148" t="s">
        <v>5526</v>
      </c>
      <c r="K148" t="s">
        <v>74</v>
      </c>
      <c r="L148" t="s">
        <v>74</v>
      </c>
      <c r="M148" t="s">
        <v>78</v>
      </c>
      <c r="N148" t="s">
        <v>79</v>
      </c>
      <c r="O148" t="s">
        <v>74</v>
      </c>
      <c r="P148" t="s">
        <v>74</v>
      </c>
      <c r="Q148" t="s">
        <v>74</v>
      </c>
      <c r="R148" t="s">
        <v>74</v>
      </c>
      <c r="S148" t="s">
        <v>74</v>
      </c>
      <c r="T148" t="s">
        <v>5527</v>
      </c>
      <c r="U148" t="s">
        <v>5528</v>
      </c>
      <c r="V148" t="s">
        <v>5529</v>
      </c>
      <c r="W148" s="1" t="s">
        <v>5530</v>
      </c>
      <c r="X148" t="s">
        <v>5531</v>
      </c>
      <c r="Y148" t="s">
        <v>5532</v>
      </c>
      <c r="Z148" t="s">
        <v>5533</v>
      </c>
      <c r="AA148" t="s">
        <v>5534</v>
      </c>
      <c r="AB148" t="s">
        <v>5535</v>
      </c>
      <c r="AC148" t="s">
        <v>74</v>
      </c>
      <c r="AD148" t="s">
        <v>74</v>
      </c>
      <c r="AE148" t="s">
        <v>74</v>
      </c>
      <c r="AF148" t="s">
        <v>5536</v>
      </c>
      <c r="AG148">
        <v>70</v>
      </c>
      <c r="AH148">
        <v>2</v>
      </c>
      <c r="AI148">
        <v>2</v>
      </c>
      <c r="AJ148">
        <v>0</v>
      </c>
      <c r="AK148">
        <v>0</v>
      </c>
      <c r="AL148" t="s">
        <v>93</v>
      </c>
      <c r="AM148" t="s">
        <v>94</v>
      </c>
      <c r="AN148" t="s">
        <v>95</v>
      </c>
      <c r="AO148" t="s">
        <v>74</v>
      </c>
      <c r="AP148" t="s">
        <v>5537</v>
      </c>
      <c r="AQ148" t="s">
        <v>74</v>
      </c>
      <c r="AR148" t="s">
        <v>5538</v>
      </c>
      <c r="AS148" t="s">
        <v>5539</v>
      </c>
      <c r="AT148" t="s">
        <v>99</v>
      </c>
      <c r="AU148">
        <v>2023</v>
      </c>
      <c r="AV148">
        <v>24</v>
      </c>
      <c r="AW148">
        <v>2</v>
      </c>
      <c r="AX148" t="s">
        <v>74</v>
      </c>
      <c r="AY148" t="s">
        <v>74</v>
      </c>
      <c r="AZ148" t="s">
        <v>74</v>
      </c>
      <c r="BA148" t="s">
        <v>74</v>
      </c>
      <c r="BB148" t="s">
        <v>74</v>
      </c>
      <c r="BC148" t="s">
        <v>74</v>
      </c>
      <c r="BD148">
        <v>1342</v>
      </c>
      <c r="BE148" t="s">
        <v>5540</v>
      </c>
      <c r="BF148" t="str">
        <f>HYPERLINK("http://dx.doi.org/10.3390/ijms24021342","http://dx.doi.org/10.3390/ijms24021342")</f>
        <v>http://dx.doi.org/10.3390/ijms24021342</v>
      </c>
      <c r="BG148" t="s">
        <v>74</v>
      </c>
      <c r="BH148" t="s">
        <v>74</v>
      </c>
      <c r="BI148">
        <v>15</v>
      </c>
      <c r="BJ148" t="s">
        <v>879</v>
      </c>
      <c r="BK148" t="s">
        <v>102</v>
      </c>
      <c r="BL148" t="s">
        <v>880</v>
      </c>
      <c r="BM148" t="s">
        <v>5541</v>
      </c>
      <c r="BN148">
        <v>36674856</v>
      </c>
      <c r="BO148" t="s">
        <v>131</v>
      </c>
      <c r="BP148" t="s">
        <v>74</v>
      </c>
      <c r="BQ148" t="s">
        <v>74</v>
      </c>
      <c r="BR148" t="s">
        <v>105</v>
      </c>
      <c r="BS148" t="s">
        <v>5542</v>
      </c>
      <c r="BT148" t="str">
        <f>HYPERLINK("https%3A%2F%2Fwww.webofscience.com%2Fwos%2Fwoscc%2Ffull-record%2FWOS:000915171300001","View Full Record in Web of Science")</f>
        <v>View Full Record in Web of Science</v>
      </c>
    </row>
    <row r="149" spans="1:72" x14ac:dyDescent="0.2">
      <c r="A149" t="s">
        <v>72</v>
      </c>
      <c r="B149" t="s">
        <v>2623</v>
      </c>
      <c r="C149" t="s">
        <v>74</v>
      </c>
      <c r="D149" t="s">
        <v>74</v>
      </c>
      <c r="E149" t="s">
        <v>74</v>
      </c>
      <c r="F149" t="s">
        <v>2624</v>
      </c>
      <c r="G149" t="s">
        <v>74</v>
      </c>
      <c r="H149" t="s">
        <v>74</v>
      </c>
      <c r="I149" t="s">
        <v>2625</v>
      </c>
      <c r="J149" t="s">
        <v>2626</v>
      </c>
      <c r="K149" t="s">
        <v>74</v>
      </c>
      <c r="L149" t="s">
        <v>74</v>
      </c>
      <c r="M149" t="s">
        <v>78</v>
      </c>
      <c r="N149" t="s">
        <v>79</v>
      </c>
      <c r="O149" t="s">
        <v>74</v>
      </c>
      <c r="P149" t="s">
        <v>74</v>
      </c>
      <c r="Q149" t="s">
        <v>74</v>
      </c>
      <c r="R149" t="s">
        <v>74</v>
      </c>
      <c r="S149" t="s">
        <v>74</v>
      </c>
      <c r="T149" t="s">
        <v>2627</v>
      </c>
      <c r="U149" t="s">
        <v>2628</v>
      </c>
      <c r="V149" t="s">
        <v>2629</v>
      </c>
      <c r="W149" s="1" t="s">
        <v>2630</v>
      </c>
      <c r="X149" t="s">
        <v>84</v>
      </c>
      <c r="Y149" t="s">
        <v>2631</v>
      </c>
      <c r="Z149" t="s">
        <v>2632</v>
      </c>
      <c r="AA149" t="s">
        <v>74</v>
      </c>
      <c r="AB149" t="s">
        <v>2633</v>
      </c>
      <c r="AC149" t="s">
        <v>74</v>
      </c>
      <c r="AD149" t="s">
        <v>74</v>
      </c>
      <c r="AE149" t="s">
        <v>74</v>
      </c>
      <c r="AF149" t="s">
        <v>2634</v>
      </c>
      <c r="AG149">
        <v>37</v>
      </c>
      <c r="AH149">
        <v>0</v>
      </c>
      <c r="AI149">
        <v>0</v>
      </c>
      <c r="AJ149">
        <v>1</v>
      </c>
      <c r="AK149">
        <v>1</v>
      </c>
      <c r="AL149" t="s">
        <v>2635</v>
      </c>
      <c r="AM149" t="s">
        <v>151</v>
      </c>
      <c r="AN149" t="s">
        <v>2636</v>
      </c>
      <c r="AO149" t="s">
        <v>2637</v>
      </c>
      <c r="AP149" t="s">
        <v>2638</v>
      </c>
      <c r="AQ149" t="s">
        <v>74</v>
      </c>
      <c r="AR149" t="s">
        <v>2639</v>
      </c>
      <c r="AS149" t="s">
        <v>2640</v>
      </c>
      <c r="AT149" t="s">
        <v>2641</v>
      </c>
      <c r="AU149">
        <v>2023</v>
      </c>
      <c r="AV149">
        <v>211</v>
      </c>
      <c r="AW149" t="s">
        <v>2642</v>
      </c>
      <c r="AX149" t="s">
        <v>74</v>
      </c>
      <c r="AY149" t="s">
        <v>74</v>
      </c>
      <c r="AZ149" t="s">
        <v>74</v>
      </c>
      <c r="BA149" t="s">
        <v>74</v>
      </c>
      <c r="BB149">
        <v>156</v>
      </c>
      <c r="BC149">
        <v>165</v>
      </c>
      <c r="BD149" t="s">
        <v>74</v>
      </c>
      <c r="BE149" t="s">
        <v>2643</v>
      </c>
      <c r="BF149" t="str">
        <f>HYPERLINK("http://dx.doi.org/10.1007/s10909-023-02963-5","http://dx.doi.org/10.1007/s10909-023-02963-5")</f>
        <v>http://dx.doi.org/10.1007/s10909-023-02963-5</v>
      </c>
      <c r="BG149" t="s">
        <v>74</v>
      </c>
      <c r="BH149" t="s">
        <v>1080</v>
      </c>
      <c r="BI149">
        <v>10</v>
      </c>
      <c r="BJ149" t="s">
        <v>2644</v>
      </c>
      <c r="BK149" t="s">
        <v>102</v>
      </c>
      <c r="BL149" t="s">
        <v>905</v>
      </c>
      <c r="BM149" t="s">
        <v>2645</v>
      </c>
      <c r="BN149" t="s">
        <v>74</v>
      </c>
      <c r="BO149" t="s">
        <v>74</v>
      </c>
      <c r="BP149" t="s">
        <v>74</v>
      </c>
      <c r="BQ149" t="s">
        <v>74</v>
      </c>
      <c r="BR149" t="s">
        <v>105</v>
      </c>
      <c r="BS149" t="s">
        <v>2646</v>
      </c>
      <c r="BT149" t="str">
        <f>HYPERLINK("https%3A%2F%2Fwww.webofscience.com%2Fwos%2Fwoscc%2Ffull-record%2FWOS:000970237700001","View Full Record in Web of Science")</f>
        <v>View Full Record in Web of Science</v>
      </c>
    </row>
    <row r="150" spans="1:72" x14ac:dyDescent="0.2">
      <c r="A150" t="s">
        <v>72</v>
      </c>
      <c r="B150" t="s">
        <v>480</v>
      </c>
      <c r="C150" t="s">
        <v>74</v>
      </c>
      <c r="D150" t="s">
        <v>74</v>
      </c>
      <c r="E150" t="s">
        <v>74</v>
      </c>
      <c r="F150" t="s">
        <v>481</v>
      </c>
      <c r="G150" t="s">
        <v>74</v>
      </c>
      <c r="H150" t="s">
        <v>74</v>
      </c>
      <c r="I150" t="s">
        <v>482</v>
      </c>
      <c r="J150" t="s">
        <v>483</v>
      </c>
      <c r="K150" t="s">
        <v>74</v>
      </c>
      <c r="L150" t="s">
        <v>74</v>
      </c>
      <c r="M150" t="s">
        <v>78</v>
      </c>
      <c r="N150" t="s">
        <v>79</v>
      </c>
      <c r="O150" t="s">
        <v>74</v>
      </c>
      <c r="P150" t="s">
        <v>74</v>
      </c>
      <c r="Q150" t="s">
        <v>74</v>
      </c>
      <c r="R150" t="s">
        <v>74</v>
      </c>
      <c r="S150" t="s">
        <v>74</v>
      </c>
      <c r="T150" t="s">
        <v>484</v>
      </c>
      <c r="U150" t="s">
        <v>485</v>
      </c>
      <c r="V150" t="s">
        <v>486</v>
      </c>
      <c r="W150" s="1" t="s">
        <v>487</v>
      </c>
      <c r="X150" t="s">
        <v>284</v>
      </c>
      <c r="Y150" t="s">
        <v>488</v>
      </c>
      <c r="Z150" t="s">
        <v>489</v>
      </c>
      <c r="AA150" t="s">
        <v>74</v>
      </c>
      <c r="AB150" t="s">
        <v>490</v>
      </c>
      <c r="AC150" t="s">
        <v>491</v>
      </c>
      <c r="AD150" t="s">
        <v>491</v>
      </c>
      <c r="AE150" t="s">
        <v>492</v>
      </c>
      <c r="AF150" t="s">
        <v>493</v>
      </c>
      <c r="AG150">
        <v>33</v>
      </c>
      <c r="AH150">
        <v>0</v>
      </c>
      <c r="AI150">
        <v>0</v>
      </c>
      <c r="AJ150">
        <v>1</v>
      </c>
      <c r="AK150">
        <v>1</v>
      </c>
      <c r="AL150" t="s">
        <v>494</v>
      </c>
      <c r="AM150" t="s">
        <v>151</v>
      </c>
      <c r="AN150" t="s">
        <v>495</v>
      </c>
      <c r="AO150" t="s">
        <v>496</v>
      </c>
      <c r="AP150" t="s">
        <v>497</v>
      </c>
      <c r="AQ150" t="s">
        <v>74</v>
      </c>
      <c r="AR150" t="s">
        <v>498</v>
      </c>
      <c r="AS150" t="s">
        <v>499</v>
      </c>
      <c r="AT150" t="s">
        <v>476</v>
      </c>
      <c r="AU150">
        <v>2022</v>
      </c>
      <c r="AV150">
        <v>191</v>
      </c>
      <c r="AW150" t="s">
        <v>74</v>
      </c>
      <c r="AX150" t="s">
        <v>74</v>
      </c>
      <c r="AY150" t="s">
        <v>74</v>
      </c>
      <c r="AZ150" t="s">
        <v>74</v>
      </c>
      <c r="BA150" t="s">
        <v>74</v>
      </c>
      <c r="BB150" t="s">
        <v>74</v>
      </c>
      <c r="BC150" t="s">
        <v>74</v>
      </c>
      <c r="BD150">
        <v>112079</v>
      </c>
      <c r="BE150" t="s">
        <v>500</v>
      </c>
      <c r="BF150" t="str">
        <f>HYPERLINK("http://dx.doi.org/10.1016/j.matchar.2022.112079","http://dx.doi.org/10.1016/j.matchar.2022.112079")</f>
        <v>http://dx.doi.org/10.1016/j.matchar.2022.112079</v>
      </c>
      <c r="BG150" t="s">
        <v>74</v>
      </c>
      <c r="BH150" t="s">
        <v>501</v>
      </c>
      <c r="BI150">
        <v>8</v>
      </c>
      <c r="BJ150" t="s">
        <v>502</v>
      </c>
      <c r="BK150" t="s">
        <v>102</v>
      </c>
      <c r="BL150" t="s">
        <v>503</v>
      </c>
      <c r="BM150" t="s">
        <v>504</v>
      </c>
      <c r="BN150" t="s">
        <v>74</v>
      </c>
      <c r="BO150" t="s">
        <v>74</v>
      </c>
      <c r="BP150" t="s">
        <v>74</v>
      </c>
      <c r="BQ150" t="s">
        <v>74</v>
      </c>
      <c r="BR150" t="s">
        <v>105</v>
      </c>
      <c r="BS150" t="s">
        <v>505</v>
      </c>
      <c r="BT150" t="str">
        <f>HYPERLINK("https%3A%2F%2Fwww.webofscience.com%2Fwos%2Fwoscc%2Ffull-record%2FWOS:000830381300002","View Full Record in Web of Science")</f>
        <v>View Full Record in Web of Science</v>
      </c>
    </row>
    <row r="151" spans="1:72" x14ac:dyDescent="0.2">
      <c r="A151" t="s">
        <v>72</v>
      </c>
      <c r="B151" t="s">
        <v>3923</v>
      </c>
      <c r="C151" t="s">
        <v>74</v>
      </c>
      <c r="D151" t="s">
        <v>74</v>
      </c>
      <c r="E151" t="s">
        <v>74</v>
      </c>
      <c r="F151" t="s">
        <v>4164</v>
      </c>
      <c r="G151" t="s">
        <v>74</v>
      </c>
      <c r="H151" t="s">
        <v>74</v>
      </c>
      <c r="I151" t="s">
        <v>4165</v>
      </c>
      <c r="J151" t="s">
        <v>3926</v>
      </c>
      <c r="K151" t="s">
        <v>74</v>
      </c>
      <c r="L151" t="s">
        <v>74</v>
      </c>
      <c r="M151" t="s">
        <v>78</v>
      </c>
      <c r="N151" t="s">
        <v>4166</v>
      </c>
      <c r="O151" t="s">
        <v>74</v>
      </c>
      <c r="P151" t="s">
        <v>74</v>
      </c>
      <c r="Q151" t="s">
        <v>74</v>
      </c>
      <c r="R151" t="s">
        <v>74</v>
      </c>
      <c r="S151" t="s">
        <v>74</v>
      </c>
      <c r="T151" t="s">
        <v>74</v>
      </c>
      <c r="U151" t="s">
        <v>74</v>
      </c>
      <c r="V151" t="s">
        <v>74</v>
      </c>
      <c r="W151" s="1" t="s">
        <v>4167</v>
      </c>
      <c r="X151" t="s">
        <v>84</v>
      </c>
      <c r="Y151" t="s">
        <v>4168</v>
      </c>
      <c r="Z151" t="s">
        <v>3932</v>
      </c>
      <c r="AA151" t="s">
        <v>74</v>
      </c>
      <c r="AB151" t="s">
        <v>74</v>
      </c>
      <c r="AC151" t="s">
        <v>74</v>
      </c>
      <c r="AD151" t="s">
        <v>74</v>
      </c>
      <c r="AE151" t="s">
        <v>74</v>
      </c>
      <c r="AF151" t="s">
        <v>4169</v>
      </c>
      <c r="AG151">
        <v>1</v>
      </c>
      <c r="AH151">
        <v>0</v>
      </c>
      <c r="AI151">
        <v>0</v>
      </c>
      <c r="AJ151">
        <v>0</v>
      </c>
      <c r="AK151">
        <v>0</v>
      </c>
      <c r="AL151" t="s">
        <v>263</v>
      </c>
      <c r="AM151" t="s">
        <v>264</v>
      </c>
      <c r="AN151" t="s">
        <v>265</v>
      </c>
      <c r="AO151" t="s">
        <v>3934</v>
      </c>
      <c r="AP151" t="s">
        <v>3935</v>
      </c>
      <c r="AQ151" t="s">
        <v>74</v>
      </c>
      <c r="AR151" t="s">
        <v>3936</v>
      </c>
      <c r="AS151" t="s">
        <v>3937</v>
      </c>
      <c r="AT151" t="s">
        <v>242</v>
      </c>
      <c r="AU151">
        <v>2022</v>
      </c>
      <c r="AV151">
        <v>281</v>
      </c>
      <c r="AW151" t="s">
        <v>74</v>
      </c>
      <c r="AX151" t="s">
        <v>74</v>
      </c>
      <c r="AY151" t="s">
        <v>74</v>
      </c>
      <c r="AZ151" t="s">
        <v>74</v>
      </c>
      <c r="BA151" t="s">
        <v>74</v>
      </c>
      <c r="BB151" t="s">
        <v>74</v>
      </c>
      <c r="BC151" t="s">
        <v>74</v>
      </c>
      <c r="BD151">
        <v>115762</v>
      </c>
      <c r="BE151" t="s">
        <v>4170</v>
      </c>
      <c r="BF151" t="str">
        <f>HYPERLINK("http://dx.doi.org/10.1016/j.mseb.2022.115762","http://dx.doi.org/10.1016/j.mseb.2022.115762")</f>
        <v>http://dx.doi.org/10.1016/j.mseb.2022.115762</v>
      </c>
      <c r="BG151" t="s">
        <v>74</v>
      </c>
      <c r="BH151" t="s">
        <v>1660</v>
      </c>
      <c r="BI151">
        <v>1</v>
      </c>
      <c r="BJ151" t="s">
        <v>3939</v>
      </c>
      <c r="BK151" t="s">
        <v>102</v>
      </c>
      <c r="BL151" t="s">
        <v>3656</v>
      </c>
      <c r="BM151" t="s">
        <v>4171</v>
      </c>
      <c r="BN151" t="s">
        <v>74</v>
      </c>
      <c r="BO151" t="s">
        <v>74</v>
      </c>
      <c r="BP151" t="s">
        <v>74</v>
      </c>
      <c r="BQ151" t="s">
        <v>74</v>
      </c>
      <c r="BR151" t="s">
        <v>105</v>
      </c>
      <c r="BS151" t="s">
        <v>4172</v>
      </c>
      <c r="BT151" t="str">
        <f>HYPERLINK("https%3A%2F%2Fwww.webofscience.com%2Fwos%2Fwoscc%2Ffull-record%2FWOS:000807566600001","View Full Record in Web of Science")</f>
        <v>View Full Record in Web of Science</v>
      </c>
    </row>
    <row r="152" spans="1:72" x14ac:dyDescent="0.2">
      <c r="A152" t="s">
        <v>72</v>
      </c>
      <c r="B152" t="s">
        <v>2456</v>
      </c>
      <c r="C152" t="s">
        <v>74</v>
      </c>
      <c r="D152" t="s">
        <v>74</v>
      </c>
      <c r="E152" t="s">
        <v>74</v>
      </c>
      <c r="F152" t="s">
        <v>2457</v>
      </c>
      <c r="G152" t="s">
        <v>74</v>
      </c>
      <c r="H152" t="s">
        <v>74</v>
      </c>
      <c r="I152" t="s">
        <v>2458</v>
      </c>
      <c r="J152" t="s">
        <v>1622</v>
      </c>
      <c r="K152" t="s">
        <v>74</v>
      </c>
      <c r="L152" t="s">
        <v>74</v>
      </c>
      <c r="M152" t="s">
        <v>78</v>
      </c>
      <c r="N152" t="s">
        <v>79</v>
      </c>
      <c r="O152" t="s">
        <v>74</v>
      </c>
      <c r="P152" t="s">
        <v>74</v>
      </c>
      <c r="Q152" t="s">
        <v>74</v>
      </c>
      <c r="R152" t="s">
        <v>74</v>
      </c>
      <c r="S152" t="s">
        <v>74</v>
      </c>
      <c r="T152" t="s">
        <v>2459</v>
      </c>
      <c r="U152" t="s">
        <v>74</v>
      </c>
      <c r="V152" t="s">
        <v>2460</v>
      </c>
      <c r="W152" s="1" t="s">
        <v>2461</v>
      </c>
      <c r="X152" t="s">
        <v>84</v>
      </c>
      <c r="Y152" t="s">
        <v>2462</v>
      </c>
      <c r="Z152" t="s">
        <v>2463</v>
      </c>
      <c r="AA152" t="s">
        <v>74</v>
      </c>
      <c r="AB152" t="s">
        <v>74</v>
      </c>
      <c r="AC152" t="s">
        <v>74</v>
      </c>
      <c r="AD152" t="s">
        <v>74</v>
      </c>
      <c r="AE152" t="s">
        <v>74</v>
      </c>
      <c r="AF152" t="s">
        <v>2464</v>
      </c>
      <c r="AG152">
        <v>12</v>
      </c>
      <c r="AH152">
        <v>0</v>
      </c>
      <c r="AI152">
        <v>0</v>
      </c>
      <c r="AJ152">
        <v>0</v>
      </c>
      <c r="AK152">
        <v>0</v>
      </c>
      <c r="AL152" t="s">
        <v>1631</v>
      </c>
      <c r="AM152" t="s">
        <v>1632</v>
      </c>
      <c r="AN152" t="s">
        <v>1633</v>
      </c>
      <c r="AO152" t="s">
        <v>1634</v>
      </c>
      <c r="AP152" t="s">
        <v>1635</v>
      </c>
      <c r="AQ152" t="s">
        <v>74</v>
      </c>
      <c r="AR152" t="s">
        <v>1622</v>
      </c>
      <c r="AS152" t="s">
        <v>1622</v>
      </c>
      <c r="AT152" t="s">
        <v>1487</v>
      </c>
      <c r="AU152">
        <v>2022</v>
      </c>
      <c r="AV152">
        <v>18</v>
      </c>
      <c r="AW152">
        <v>2</v>
      </c>
      <c r="AX152" t="s">
        <v>74</v>
      </c>
      <c r="AY152" t="s">
        <v>74</v>
      </c>
      <c r="AZ152" t="s">
        <v>74</v>
      </c>
      <c r="BA152" t="s">
        <v>74</v>
      </c>
      <c r="BB152" t="s">
        <v>74</v>
      </c>
      <c r="BC152" t="s">
        <v>74</v>
      </c>
      <c r="BD152" t="s">
        <v>74</v>
      </c>
      <c r="BE152" t="s">
        <v>2465</v>
      </c>
      <c r="BF152" t="str">
        <f>HYPERLINK("http://dx.doi.org/10.17981/ingecuc.18.2.2022.07","http://dx.doi.org/10.17981/ingecuc.18.2.2022.07")</f>
        <v>http://dx.doi.org/10.17981/ingecuc.18.2.2022.07</v>
      </c>
      <c r="BG152" t="s">
        <v>74</v>
      </c>
      <c r="BH152" t="s">
        <v>74</v>
      </c>
      <c r="BI152">
        <v>1</v>
      </c>
      <c r="BJ152" t="s">
        <v>323</v>
      </c>
      <c r="BK152" t="s">
        <v>187</v>
      </c>
      <c r="BL152" t="s">
        <v>324</v>
      </c>
      <c r="BM152" t="s">
        <v>1637</v>
      </c>
      <c r="BN152" t="s">
        <v>74</v>
      </c>
      <c r="BO152" t="s">
        <v>74</v>
      </c>
      <c r="BP152" t="s">
        <v>74</v>
      </c>
      <c r="BQ152" t="s">
        <v>74</v>
      </c>
      <c r="BR152" t="s">
        <v>105</v>
      </c>
      <c r="BS152" t="s">
        <v>2466</v>
      </c>
      <c r="BT152" t="str">
        <f>HYPERLINK("https%3A%2F%2Fwww.webofscience.com%2Fwos%2Fwoscc%2Ffull-record%2FWOS:000917298600010","View Full Record in Web of Science")</f>
        <v>View Full Record in Web of Science</v>
      </c>
    </row>
    <row r="153" spans="1:72" x14ac:dyDescent="0.2">
      <c r="A153" t="s">
        <v>72</v>
      </c>
      <c r="B153" t="s">
        <v>5029</v>
      </c>
      <c r="C153" t="s">
        <v>74</v>
      </c>
      <c r="D153" t="s">
        <v>74</v>
      </c>
      <c r="E153" t="s">
        <v>74</v>
      </c>
      <c r="F153" t="s">
        <v>5030</v>
      </c>
      <c r="G153" t="s">
        <v>74</v>
      </c>
      <c r="H153" t="s">
        <v>74</v>
      </c>
      <c r="I153" t="s">
        <v>5031</v>
      </c>
      <c r="J153" t="s">
        <v>5032</v>
      </c>
      <c r="K153" t="s">
        <v>74</v>
      </c>
      <c r="L153" t="s">
        <v>74</v>
      </c>
      <c r="M153" t="s">
        <v>78</v>
      </c>
      <c r="N153" t="s">
        <v>79</v>
      </c>
      <c r="O153" t="s">
        <v>74</v>
      </c>
      <c r="P153" t="s">
        <v>74</v>
      </c>
      <c r="Q153" t="s">
        <v>74</v>
      </c>
      <c r="R153" t="s">
        <v>74</v>
      </c>
      <c r="S153" t="s">
        <v>74</v>
      </c>
      <c r="T153" t="s">
        <v>5033</v>
      </c>
      <c r="U153" t="s">
        <v>5034</v>
      </c>
      <c r="V153" t="s">
        <v>5035</v>
      </c>
      <c r="W153" s="1" t="s">
        <v>5036</v>
      </c>
      <c r="X153" t="s">
        <v>5037</v>
      </c>
      <c r="Y153" t="s">
        <v>5038</v>
      </c>
      <c r="Z153" t="s">
        <v>5039</v>
      </c>
      <c r="AA153" t="s">
        <v>5040</v>
      </c>
      <c r="AB153" t="s">
        <v>5041</v>
      </c>
      <c r="AC153" t="s">
        <v>74</v>
      </c>
      <c r="AD153" t="s">
        <v>74</v>
      </c>
      <c r="AE153" t="s">
        <v>74</v>
      </c>
      <c r="AF153" t="s">
        <v>5042</v>
      </c>
      <c r="AG153">
        <v>111</v>
      </c>
      <c r="AH153">
        <v>1</v>
      </c>
      <c r="AI153">
        <v>1</v>
      </c>
      <c r="AJ153">
        <v>2</v>
      </c>
      <c r="AK153">
        <v>5</v>
      </c>
      <c r="AL153" t="s">
        <v>150</v>
      </c>
      <c r="AM153" t="s">
        <v>151</v>
      </c>
      <c r="AN153" t="s">
        <v>152</v>
      </c>
      <c r="AO153" t="s">
        <v>5043</v>
      </c>
      <c r="AP153" t="s">
        <v>5044</v>
      </c>
      <c r="AQ153" t="s">
        <v>74</v>
      </c>
      <c r="AR153" t="s">
        <v>5045</v>
      </c>
      <c r="AS153" t="s">
        <v>5046</v>
      </c>
      <c r="AT153" t="s">
        <v>1753</v>
      </c>
      <c r="AU153">
        <v>2022</v>
      </c>
      <c r="AV153">
        <v>111</v>
      </c>
      <c r="AW153">
        <v>7</v>
      </c>
      <c r="AX153" t="s">
        <v>74</v>
      </c>
      <c r="AY153" t="s">
        <v>74</v>
      </c>
      <c r="AZ153" t="s">
        <v>74</v>
      </c>
      <c r="BA153" t="s">
        <v>74</v>
      </c>
      <c r="BB153">
        <v>2081</v>
      </c>
      <c r="BC153">
        <v>2099</v>
      </c>
      <c r="BD153" t="s">
        <v>74</v>
      </c>
      <c r="BE153" t="s">
        <v>5047</v>
      </c>
      <c r="BF153" t="str">
        <f>HYPERLINK("http://dx.doi.org/10.1007/s00531-022-02227-9","http://dx.doi.org/10.1007/s00531-022-02227-9")</f>
        <v>http://dx.doi.org/10.1007/s00531-022-02227-9</v>
      </c>
      <c r="BG153" t="s">
        <v>74</v>
      </c>
      <c r="BH153" t="s">
        <v>501</v>
      </c>
      <c r="BI153">
        <v>19</v>
      </c>
      <c r="BJ153" t="s">
        <v>5048</v>
      </c>
      <c r="BK153" t="s">
        <v>102</v>
      </c>
      <c r="BL153" t="s">
        <v>2301</v>
      </c>
      <c r="BM153" t="s">
        <v>5049</v>
      </c>
      <c r="BN153" t="s">
        <v>74</v>
      </c>
      <c r="BO153" t="s">
        <v>74</v>
      </c>
      <c r="BP153" t="s">
        <v>74</v>
      </c>
      <c r="BQ153" t="s">
        <v>74</v>
      </c>
      <c r="BR153" t="s">
        <v>105</v>
      </c>
      <c r="BS153" t="s">
        <v>5050</v>
      </c>
      <c r="BT153" t="str">
        <f>HYPERLINK("https%3A%2F%2Fwww.webofscience.com%2Fwos%2Fwoscc%2Ffull-record%2FWOS:000828443300001","View Full Record in Web of Science")</f>
        <v>View Full Record in Web of Science</v>
      </c>
    </row>
    <row r="154" spans="1:72" x14ac:dyDescent="0.2">
      <c r="A154" t="s">
        <v>72</v>
      </c>
      <c r="B154" t="s">
        <v>219</v>
      </c>
      <c r="C154" t="s">
        <v>74</v>
      </c>
      <c r="D154" t="s">
        <v>74</v>
      </c>
      <c r="E154" t="s">
        <v>74</v>
      </c>
      <c r="F154" t="s">
        <v>220</v>
      </c>
      <c r="G154" t="s">
        <v>74</v>
      </c>
      <c r="H154" t="s">
        <v>74</v>
      </c>
      <c r="I154" t="s">
        <v>221</v>
      </c>
      <c r="J154" t="s">
        <v>222</v>
      </c>
      <c r="K154" t="s">
        <v>74</v>
      </c>
      <c r="L154" t="s">
        <v>74</v>
      </c>
      <c r="M154" t="s">
        <v>78</v>
      </c>
      <c r="N154" t="s">
        <v>79</v>
      </c>
      <c r="O154" t="s">
        <v>74</v>
      </c>
      <c r="P154" t="s">
        <v>74</v>
      </c>
      <c r="Q154" t="s">
        <v>74</v>
      </c>
      <c r="R154" t="s">
        <v>74</v>
      </c>
      <c r="S154" t="s">
        <v>74</v>
      </c>
      <c r="T154" t="s">
        <v>223</v>
      </c>
      <c r="U154" t="s">
        <v>224</v>
      </c>
      <c r="V154" t="s">
        <v>225</v>
      </c>
      <c r="W154" s="1" t="s">
        <v>226</v>
      </c>
      <c r="X154" t="s">
        <v>227</v>
      </c>
      <c r="Y154" t="s">
        <v>228</v>
      </c>
      <c r="Z154" t="s">
        <v>229</v>
      </c>
      <c r="AA154" t="s">
        <v>230</v>
      </c>
      <c r="AB154" t="s">
        <v>231</v>
      </c>
      <c r="AC154" t="s">
        <v>232</v>
      </c>
      <c r="AD154" t="s">
        <v>233</v>
      </c>
      <c r="AE154" t="s">
        <v>234</v>
      </c>
      <c r="AF154" t="s">
        <v>235</v>
      </c>
      <c r="AG154">
        <v>93</v>
      </c>
      <c r="AH154">
        <v>6</v>
      </c>
      <c r="AI154">
        <v>6</v>
      </c>
      <c r="AJ154">
        <v>5</v>
      </c>
      <c r="AK154">
        <v>13</v>
      </c>
      <c r="AL154" t="s">
        <v>236</v>
      </c>
      <c r="AM154" t="s">
        <v>237</v>
      </c>
      <c r="AN154" t="s">
        <v>238</v>
      </c>
      <c r="AO154" t="s">
        <v>239</v>
      </c>
      <c r="AP154" t="s">
        <v>240</v>
      </c>
      <c r="AQ154" t="s">
        <v>74</v>
      </c>
      <c r="AR154" t="s">
        <v>222</v>
      </c>
      <c r="AS154" t="s">
        <v>241</v>
      </c>
      <c r="AT154" t="s">
        <v>242</v>
      </c>
      <c r="AU154">
        <v>2022</v>
      </c>
      <c r="AV154">
        <v>19</v>
      </c>
      <c r="AW154">
        <v>7</v>
      </c>
      <c r="AX154" t="s">
        <v>74</v>
      </c>
      <c r="AY154" t="s">
        <v>74</v>
      </c>
      <c r="AZ154" t="s">
        <v>74</v>
      </c>
      <c r="BA154" t="s">
        <v>74</v>
      </c>
      <c r="BB154">
        <v>1689</v>
      </c>
      <c r="BC154">
        <v>1716</v>
      </c>
      <c r="BD154" t="s">
        <v>74</v>
      </c>
      <c r="BE154" t="s">
        <v>243</v>
      </c>
      <c r="BF154" t="str">
        <f>HYPERLINK("http://dx.doi.org/10.1007/s10346-022-01870-2","http://dx.doi.org/10.1007/s10346-022-01870-2")</f>
        <v>http://dx.doi.org/10.1007/s10346-022-01870-2</v>
      </c>
      <c r="BG154" t="s">
        <v>74</v>
      </c>
      <c r="BH154" t="s">
        <v>244</v>
      </c>
      <c r="BI154">
        <v>28</v>
      </c>
      <c r="BJ154" t="s">
        <v>245</v>
      </c>
      <c r="BK154" t="s">
        <v>102</v>
      </c>
      <c r="BL154" t="s">
        <v>246</v>
      </c>
      <c r="BM154" t="s">
        <v>247</v>
      </c>
      <c r="BN154" t="s">
        <v>74</v>
      </c>
      <c r="BO154" t="s">
        <v>74</v>
      </c>
      <c r="BP154" t="s">
        <v>74</v>
      </c>
      <c r="BQ154" t="s">
        <v>74</v>
      </c>
      <c r="BR154" t="s">
        <v>105</v>
      </c>
      <c r="BS154" t="s">
        <v>248</v>
      </c>
      <c r="BT154" t="str">
        <f>HYPERLINK("https%3A%2F%2Fwww.webofscience.com%2Fwos%2Fwoscc%2Ffull-record%2FWOS:000770972100001","View Full Record in Web of Science")</f>
        <v>View Full Record in Web of Science</v>
      </c>
    </row>
    <row r="155" spans="1:72" x14ac:dyDescent="0.2">
      <c r="A155" t="s">
        <v>72</v>
      </c>
      <c r="B155" t="s">
        <v>2741</v>
      </c>
      <c r="C155" t="s">
        <v>74</v>
      </c>
      <c r="D155" t="s">
        <v>74</v>
      </c>
      <c r="E155" t="s">
        <v>74</v>
      </c>
      <c r="F155" t="s">
        <v>2742</v>
      </c>
      <c r="G155" t="s">
        <v>74</v>
      </c>
      <c r="H155" t="s">
        <v>74</v>
      </c>
      <c r="I155" t="s">
        <v>2743</v>
      </c>
      <c r="J155" t="s">
        <v>2744</v>
      </c>
      <c r="K155" t="s">
        <v>74</v>
      </c>
      <c r="L155" t="s">
        <v>74</v>
      </c>
      <c r="M155" t="s">
        <v>78</v>
      </c>
      <c r="N155" t="s">
        <v>79</v>
      </c>
      <c r="O155" t="s">
        <v>74</v>
      </c>
      <c r="P155" t="s">
        <v>74</v>
      </c>
      <c r="Q155" t="s">
        <v>74</v>
      </c>
      <c r="R155" t="s">
        <v>74</v>
      </c>
      <c r="S155" t="s">
        <v>74</v>
      </c>
      <c r="T155" t="s">
        <v>2745</v>
      </c>
      <c r="U155" t="s">
        <v>74</v>
      </c>
      <c r="V155" t="s">
        <v>2746</v>
      </c>
      <c r="W155" s="1" t="s">
        <v>2747</v>
      </c>
      <c r="X155" t="s">
        <v>84</v>
      </c>
      <c r="Y155" t="s">
        <v>2748</v>
      </c>
      <c r="Z155" t="s">
        <v>2749</v>
      </c>
      <c r="AA155" t="s">
        <v>74</v>
      </c>
      <c r="AB155" t="s">
        <v>74</v>
      </c>
      <c r="AC155" t="s">
        <v>74</v>
      </c>
      <c r="AD155" t="s">
        <v>74</v>
      </c>
      <c r="AE155" t="s">
        <v>74</v>
      </c>
      <c r="AF155" t="s">
        <v>2750</v>
      </c>
      <c r="AG155">
        <v>30</v>
      </c>
      <c r="AH155">
        <v>0</v>
      </c>
      <c r="AI155">
        <v>0</v>
      </c>
      <c r="AJ155">
        <v>0</v>
      </c>
      <c r="AK155">
        <v>0</v>
      </c>
      <c r="AL155" t="s">
        <v>924</v>
      </c>
      <c r="AM155" t="s">
        <v>925</v>
      </c>
      <c r="AN155" t="s">
        <v>2751</v>
      </c>
      <c r="AO155" t="s">
        <v>2752</v>
      </c>
      <c r="AP155" t="s">
        <v>2753</v>
      </c>
      <c r="AQ155" t="s">
        <v>74</v>
      </c>
      <c r="AR155" t="s">
        <v>2754</v>
      </c>
      <c r="AS155" t="s">
        <v>2755</v>
      </c>
      <c r="AT155" t="s">
        <v>1487</v>
      </c>
      <c r="AU155">
        <v>2022</v>
      </c>
      <c r="AV155" t="s">
        <v>74</v>
      </c>
      <c r="AW155">
        <v>24</v>
      </c>
      <c r="AX155" t="s">
        <v>74</v>
      </c>
      <c r="AY155" t="s">
        <v>74</v>
      </c>
      <c r="AZ155" t="s">
        <v>74</v>
      </c>
      <c r="BA155" t="s">
        <v>74</v>
      </c>
      <c r="BB155" t="s">
        <v>74</v>
      </c>
      <c r="BC155" t="s">
        <v>74</v>
      </c>
      <c r="BD155" t="s">
        <v>2756</v>
      </c>
      <c r="BE155" t="s">
        <v>2757</v>
      </c>
      <c r="BF155" t="str">
        <f>HYPERLINK("http://dx.doi.org/10.25100/eg.v0i24.12239","http://dx.doi.org/10.25100/eg.v0i24.12239")</f>
        <v>http://dx.doi.org/10.25100/eg.v0i24.12239</v>
      </c>
      <c r="BG155" t="s">
        <v>74</v>
      </c>
      <c r="BH155" t="s">
        <v>74</v>
      </c>
      <c r="BI155">
        <v>31</v>
      </c>
      <c r="BJ155" t="s">
        <v>1488</v>
      </c>
      <c r="BK155" t="s">
        <v>187</v>
      </c>
      <c r="BL155" t="s">
        <v>1488</v>
      </c>
      <c r="BM155" t="s">
        <v>2758</v>
      </c>
      <c r="BN155" t="s">
        <v>74</v>
      </c>
      <c r="BO155" t="s">
        <v>190</v>
      </c>
      <c r="BP155" t="s">
        <v>74</v>
      </c>
      <c r="BQ155" t="s">
        <v>74</v>
      </c>
      <c r="BR155" t="s">
        <v>105</v>
      </c>
      <c r="BS155" t="s">
        <v>2759</v>
      </c>
      <c r="BT155" t="str">
        <f>HYPERLINK("https%3A%2F%2Fwww.webofscience.com%2Fwos%2Fwoscc%2Ffull-record%2FWOS:000961367900006","View Full Record in Web of Science")</f>
        <v>View Full Record in Web of Science</v>
      </c>
    </row>
    <row r="156" spans="1:72" x14ac:dyDescent="0.2">
      <c r="A156" t="s">
        <v>72</v>
      </c>
      <c r="B156" t="s">
        <v>5543</v>
      </c>
      <c r="C156" t="s">
        <v>74</v>
      </c>
      <c r="D156" t="s">
        <v>74</v>
      </c>
      <c r="E156" t="s">
        <v>74</v>
      </c>
      <c r="F156" t="s">
        <v>5544</v>
      </c>
      <c r="G156" t="s">
        <v>74</v>
      </c>
      <c r="H156" t="s">
        <v>74</v>
      </c>
      <c r="I156" t="s">
        <v>5545</v>
      </c>
      <c r="J156" t="s">
        <v>5546</v>
      </c>
      <c r="K156" t="s">
        <v>74</v>
      </c>
      <c r="L156" t="s">
        <v>74</v>
      </c>
      <c r="M156" t="s">
        <v>78</v>
      </c>
      <c r="N156" t="s">
        <v>167</v>
      </c>
      <c r="O156" t="s">
        <v>74</v>
      </c>
      <c r="P156" t="s">
        <v>74</v>
      </c>
      <c r="Q156" t="s">
        <v>74</v>
      </c>
      <c r="R156" t="s">
        <v>74</v>
      </c>
      <c r="S156" t="s">
        <v>74</v>
      </c>
      <c r="T156" t="s">
        <v>5547</v>
      </c>
      <c r="U156" t="s">
        <v>5548</v>
      </c>
      <c r="V156" t="s">
        <v>5549</v>
      </c>
      <c r="W156" s="1" t="s">
        <v>5550</v>
      </c>
      <c r="X156" t="s">
        <v>84</v>
      </c>
      <c r="Y156" t="s">
        <v>5551</v>
      </c>
      <c r="Z156" t="s">
        <v>5552</v>
      </c>
      <c r="AA156" t="s">
        <v>5553</v>
      </c>
      <c r="AB156" t="s">
        <v>5554</v>
      </c>
      <c r="AC156" t="s">
        <v>5555</v>
      </c>
      <c r="AD156" t="s">
        <v>5556</v>
      </c>
      <c r="AE156" t="s">
        <v>5557</v>
      </c>
      <c r="AF156" t="s">
        <v>5558</v>
      </c>
      <c r="AG156">
        <v>70</v>
      </c>
      <c r="AH156">
        <v>4</v>
      </c>
      <c r="AI156">
        <v>4</v>
      </c>
      <c r="AJ156">
        <v>5</v>
      </c>
      <c r="AK156">
        <v>10</v>
      </c>
      <c r="AL156" t="s">
        <v>5559</v>
      </c>
      <c r="AM156" t="s">
        <v>5560</v>
      </c>
      <c r="AN156" t="s">
        <v>5561</v>
      </c>
      <c r="AO156" t="s">
        <v>74</v>
      </c>
      <c r="AP156" t="s">
        <v>5562</v>
      </c>
      <c r="AQ156" t="s">
        <v>74</v>
      </c>
      <c r="AR156" t="s">
        <v>5563</v>
      </c>
      <c r="AS156" t="s">
        <v>5564</v>
      </c>
      <c r="AT156" t="s">
        <v>74</v>
      </c>
      <c r="AU156">
        <v>2022</v>
      </c>
      <c r="AV156">
        <v>8</v>
      </c>
      <c r="AW156">
        <v>6</v>
      </c>
      <c r="AX156" t="s">
        <v>74</v>
      </c>
      <c r="AY156" t="s">
        <v>74</v>
      </c>
      <c r="AZ156" t="s">
        <v>74</v>
      </c>
      <c r="BA156" t="s">
        <v>74</v>
      </c>
      <c r="BB156">
        <v>593</v>
      </c>
      <c r="BC156">
        <v>603</v>
      </c>
      <c r="BD156" t="s">
        <v>74</v>
      </c>
      <c r="BE156" t="s">
        <v>5565</v>
      </c>
      <c r="BF156" t="str">
        <f>HYPERLINK("http://dx.doi.org/10.3920/JIFF2021.0148","http://dx.doi.org/10.3920/JIFF2021.0148")</f>
        <v>http://dx.doi.org/10.3920/JIFF2021.0148</v>
      </c>
      <c r="BG156" t="s">
        <v>74</v>
      </c>
      <c r="BH156" t="s">
        <v>74</v>
      </c>
      <c r="BI156">
        <v>11</v>
      </c>
      <c r="BJ156" t="s">
        <v>5566</v>
      </c>
      <c r="BK156" t="s">
        <v>102</v>
      </c>
      <c r="BL156" t="s">
        <v>5567</v>
      </c>
      <c r="BM156" t="s">
        <v>5568</v>
      </c>
      <c r="BN156" t="s">
        <v>74</v>
      </c>
      <c r="BO156" t="s">
        <v>74</v>
      </c>
      <c r="BP156" t="s">
        <v>74</v>
      </c>
      <c r="BQ156" t="s">
        <v>74</v>
      </c>
      <c r="BR156" t="s">
        <v>105</v>
      </c>
      <c r="BS156" t="s">
        <v>5569</v>
      </c>
      <c r="BT156" t="str">
        <f>HYPERLINK("https%3A%2F%2Fwww.webofscience.com%2Fwos%2Fwoscc%2Ffull-record%2FWOS:000824446700001","View Full Record in Web of Science")</f>
        <v>View Full Record in Web of Science</v>
      </c>
    </row>
    <row r="157" spans="1:72" x14ac:dyDescent="0.2">
      <c r="A157" t="s">
        <v>72</v>
      </c>
      <c r="B157" t="s">
        <v>5955</v>
      </c>
      <c r="C157" t="s">
        <v>74</v>
      </c>
      <c r="D157" t="s">
        <v>74</v>
      </c>
      <c r="E157" t="s">
        <v>74</v>
      </c>
      <c r="F157" t="s">
        <v>5956</v>
      </c>
      <c r="G157" t="s">
        <v>74</v>
      </c>
      <c r="H157" t="s">
        <v>74</v>
      </c>
      <c r="I157" t="s">
        <v>5957</v>
      </c>
      <c r="J157" t="s">
        <v>5958</v>
      </c>
      <c r="K157" t="s">
        <v>74</v>
      </c>
      <c r="L157" t="s">
        <v>74</v>
      </c>
      <c r="M157" t="s">
        <v>78</v>
      </c>
      <c r="N157" t="s">
        <v>79</v>
      </c>
      <c r="O157" t="s">
        <v>74</v>
      </c>
      <c r="P157" t="s">
        <v>74</v>
      </c>
      <c r="Q157" t="s">
        <v>74</v>
      </c>
      <c r="R157" t="s">
        <v>74</v>
      </c>
      <c r="S157" t="s">
        <v>74</v>
      </c>
      <c r="T157" t="s">
        <v>5959</v>
      </c>
      <c r="U157" t="s">
        <v>5960</v>
      </c>
      <c r="V157" t="s">
        <v>5961</v>
      </c>
      <c r="W157" s="1" t="s">
        <v>5962</v>
      </c>
      <c r="X157" t="s">
        <v>5963</v>
      </c>
      <c r="Y157" t="s">
        <v>5964</v>
      </c>
      <c r="Z157" t="s">
        <v>5965</v>
      </c>
      <c r="AA157" t="s">
        <v>5966</v>
      </c>
      <c r="AB157" t="s">
        <v>5967</v>
      </c>
      <c r="AC157" t="s">
        <v>5968</v>
      </c>
      <c r="AD157" t="s">
        <v>5969</v>
      </c>
      <c r="AE157" t="s">
        <v>5970</v>
      </c>
      <c r="AF157" t="s">
        <v>5971</v>
      </c>
      <c r="AG157">
        <v>33</v>
      </c>
      <c r="AH157">
        <v>6</v>
      </c>
      <c r="AI157">
        <v>6</v>
      </c>
      <c r="AJ157">
        <v>0</v>
      </c>
      <c r="AK157">
        <v>2</v>
      </c>
      <c r="AL157" t="s">
        <v>5972</v>
      </c>
      <c r="AM157" t="s">
        <v>5973</v>
      </c>
      <c r="AN157" t="s">
        <v>5974</v>
      </c>
      <c r="AO157" t="s">
        <v>5975</v>
      </c>
      <c r="AP157" t="s">
        <v>74</v>
      </c>
      <c r="AQ157" t="s">
        <v>74</v>
      </c>
      <c r="AR157" t="s">
        <v>5976</v>
      </c>
      <c r="AS157" t="s">
        <v>5977</v>
      </c>
      <c r="AT157" t="s">
        <v>99</v>
      </c>
      <c r="AU157">
        <v>2022</v>
      </c>
      <c r="AV157">
        <v>8</v>
      </c>
      <c r="AW157">
        <v>1</v>
      </c>
      <c r="AX157" t="s">
        <v>74</v>
      </c>
      <c r="AY157" t="s">
        <v>74</v>
      </c>
      <c r="AZ157" t="s">
        <v>74</v>
      </c>
      <c r="BA157" t="s">
        <v>74</v>
      </c>
      <c r="BB157" t="s">
        <v>74</v>
      </c>
      <c r="BC157" t="s">
        <v>74</v>
      </c>
      <c r="BD157">
        <v>15004</v>
      </c>
      <c r="BE157" t="s">
        <v>5978</v>
      </c>
      <c r="BF157" t="str">
        <f>HYPERLINK("http://dx.doi.org/10.1088/2057-1976/ac35a1","http://dx.doi.org/10.1088/2057-1976/ac35a1")</f>
        <v>http://dx.doi.org/10.1088/2057-1976/ac35a1</v>
      </c>
      <c r="BG157" t="s">
        <v>74</v>
      </c>
      <c r="BH157" t="s">
        <v>74</v>
      </c>
      <c r="BI157">
        <v>8</v>
      </c>
      <c r="BJ157" t="s">
        <v>5979</v>
      </c>
      <c r="BK157" t="s">
        <v>187</v>
      </c>
      <c r="BL157" t="s">
        <v>5979</v>
      </c>
      <c r="BM157" t="s">
        <v>5980</v>
      </c>
      <c r="BN157">
        <v>34727526</v>
      </c>
      <c r="BO157" t="s">
        <v>74</v>
      </c>
      <c r="BP157" t="s">
        <v>74</v>
      </c>
      <c r="BQ157" t="s">
        <v>74</v>
      </c>
      <c r="BR157" t="s">
        <v>105</v>
      </c>
      <c r="BS157" t="s">
        <v>5981</v>
      </c>
      <c r="BT157" t="str">
        <f>HYPERLINK("https%3A%2F%2Fwww.webofscience.com%2Fwos%2Fwoscc%2Ffull-record%2FWOS:000716728500001","View Full Record in Web of Science")</f>
        <v>View Full Record in Web of Science</v>
      </c>
    </row>
    <row r="158" spans="1:72" x14ac:dyDescent="0.2">
      <c r="A158" t="s">
        <v>72</v>
      </c>
      <c r="B158" t="s">
        <v>3190</v>
      </c>
      <c r="C158" t="s">
        <v>74</v>
      </c>
      <c r="D158" t="s">
        <v>74</v>
      </c>
      <c r="E158" t="s">
        <v>74</v>
      </c>
      <c r="F158" t="s">
        <v>3191</v>
      </c>
      <c r="G158" t="s">
        <v>74</v>
      </c>
      <c r="H158" t="s">
        <v>74</v>
      </c>
      <c r="I158" t="s">
        <v>3192</v>
      </c>
      <c r="J158" t="s">
        <v>3193</v>
      </c>
      <c r="K158" t="s">
        <v>74</v>
      </c>
      <c r="L158" t="s">
        <v>74</v>
      </c>
      <c r="M158" t="s">
        <v>78</v>
      </c>
      <c r="N158" t="s">
        <v>79</v>
      </c>
      <c r="O158" t="s">
        <v>74</v>
      </c>
      <c r="P158" t="s">
        <v>74</v>
      </c>
      <c r="Q158" t="s">
        <v>74</v>
      </c>
      <c r="R158" t="s">
        <v>74</v>
      </c>
      <c r="S158" t="s">
        <v>74</v>
      </c>
      <c r="T158" t="s">
        <v>3194</v>
      </c>
      <c r="U158" t="s">
        <v>74</v>
      </c>
      <c r="V158" t="s">
        <v>3195</v>
      </c>
      <c r="W158" s="1" t="s">
        <v>3196</v>
      </c>
      <c r="X158" t="s">
        <v>84</v>
      </c>
      <c r="Y158" t="s">
        <v>3197</v>
      </c>
      <c r="Z158" t="s">
        <v>3198</v>
      </c>
      <c r="AA158" t="s">
        <v>74</v>
      </c>
      <c r="AB158" t="s">
        <v>74</v>
      </c>
      <c r="AC158" t="s">
        <v>74</v>
      </c>
      <c r="AD158" t="s">
        <v>74</v>
      </c>
      <c r="AE158" t="s">
        <v>74</v>
      </c>
      <c r="AF158" t="s">
        <v>3199</v>
      </c>
      <c r="AG158">
        <v>81</v>
      </c>
      <c r="AH158">
        <v>0</v>
      </c>
      <c r="AI158">
        <v>0</v>
      </c>
      <c r="AJ158">
        <v>0</v>
      </c>
      <c r="AK158">
        <v>0</v>
      </c>
      <c r="AL158" t="s">
        <v>1631</v>
      </c>
      <c r="AM158" t="s">
        <v>1632</v>
      </c>
      <c r="AN158" t="s">
        <v>1633</v>
      </c>
      <c r="AO158" t="s">
        <v>3200</v>
      </c>
      <c r="AP158" t="s">
        <v>3201</v>
      </c>
      <c r="AQ158" t="s">
        <v>74</v>
      </c>
      <c r="AR158" t="s">
        <v>3202</v>
      </c>
      <c r="AS158" t="s">
        <v>3203</v>
      </c>
      <c r="AT158" t="s">
        <v>853</v>
      </c>
      <c r="AU158">
        <v>2023</v>
      </c>
      <c r="AV158">
        <v>19</v>
      </c>
      <c r="AW158">
        <v>1</v>
      </c>
      <c r="AX158" t="s">
        <v>74</v>
      </c>
      <c r="AY158" t="s">
        <v>74</v>
      </c>
      <c r="AZ158" t="s">
        <v>74</v>
      </c>
      <c r="BA158" t="s">
        <v>74</v>
      </c>
      <c r="BB158">
        <v>125</v>
      </c>
      <c r="BC158">
        <v>162</v>
      </c>
      <c r="BD158" t="s">
        <v>74</v>
      </c>
      <c r="BE158" t="s">
        <v>3204</v>
      </c>
      <c r="BF158" t="str">
        <f>HYPERLINK("http://dx.doi.org/10.17981/juridcuc.19.1.2023.05","http://dx.doi.org/10.17981/juridcuc.19.1.2023.05")</f>
        <v>http://dx.doi.org/10.17981/juridcuc.19.1.2023.05</v>
      </c>
      <c r="BG158" t="s">
        <v>74</v>
      </c>
      <c r="BH158" t="s">
        <v>74</v>
      </c>
      <c r="BI158">
        <v>38</v>
      </c>
      <c r="BJ158" t="s">
        <v>3205</v>
      </c>
      <c r="BK158" t="s">
        <v>187</v>
      </c>
      <c r="BL158" t="s">
        <v>3206</v>
      </c>
      <c r="BM158" t="s">
        <v>3207</v>
      </c>
      <c r="BN158" t="s">
        <v>74</v>
      </c>
      <c r="BO158" t="s">
        <v>74</v>
      </c>
      <c r="BP158" t="s">
        <v>74</v>
      </c>
      <c r="BQ158" t="s">
        <v>74</v>
      </c>
      <c r="BR158" t="s">
        <v>105</v>
      </c>
      <c r="BS158" t="s">
        <v>3208</v>
      </c>
      <c r="BT158" t="str">
        <f>HYPERLINK("https%3A%2F%2Fwww.webofscience.com%2Fwos%2Fwoscc%2Ffull-record%2FWOS:000925989000001","View Full Record in Web of Science")</f>
        <v>View Full Record in Web of Science</v>
      </c>
    </row>
    <row r="159" spans="1:72" x14ac:dyDescent="0.2">
      <c r="A159" t="s">
        <v>72</v>
      </c>
      <c r="B159" t="s">
        <v>3209</v>
      </c>
      <c r="C159" t="s">
        <v>74</v>
      </c>
      <c r="D159" t="s">
        <v>74</v>
      </c>
      <c r="E159" t="s">
        <v>74</v>
      </c>
      <c r="F159" t="s">
        <v>3210</v>
      </c>
      <c r="G159" t="s">
        <v>74</v>
      </c>
      <c r="H159" t="s">
        <v>74</v>
      </c>
      <c r="I159" t="s">
        <v>3211</v>
      </c>
      <c r="J159" t="s">
        <v>3212</v>
      </c>
      <c r="K159" t="s">
        <v>74</v>
      </c>
      <c r="L159" t="s">
        <v>74</v>
      </c>
      <c r="M159" t="s">
        <v>1517</v>
      </c>
      <c r="N159" t="s">
        <v>79</v>
      </c>
      <c r="O159" t="s">
        <v>74</v>
      </c>
      <c r="P159" t="s">
        <v>74</v>
      </c>
      <c r="Q159" t="s">
        <v>74</v>
      </c>
      <c r="R159" t="s">
        <v>74</v>
      </c>
      <c r="S159" t="s">
        <v>74</v>
      </c>
      <c r="T159" t="s">
        <v>3213</v>
      </c>
      <c r="U159" t="s">
        <v>3214</v>
      </c>
      <c r="V159" t="s">
        <v>3215</v>
      </c>
      <c r="W159" s="1" t="s">
        <v>3216</v>
      </c>
      <c r="X159" t="s">
        <v>284</v>
      </c>
      <c r="Y159" t="s">
        <v>3217</v>
      </c>
      <c r="Z159" t="s">
        <v>3218</v>
      </c>
      <c r="AA159" t="s">
        <v>74</v>
      </c>
      <c r="AB159" t="s">
        <v>74</v>
      </c>
      <c r="AC159" t="s">
        <v>74</v>
      </c>
      <c r="AD159" t="s">
        <v>74</v>
      </c>
      <c r="AE159" t="s">
        <v>74</v>
      </c>
      <c r="AF159" t="s">
        <v>3219</v>
      </c>
      <c r="AG159">
        <v>24</v>
      </c>
      <c r="AH159">
        <v>0</v>
      </c>
      <c r="AI159">
        <v>0</v>
      </c>
      <c r="AJ159">
        <v>0</v>
      </c>
      <c r="AK159">
        <v>0</v>
      </c>
      <c r="AL159" t="s">
        <v>3220</v>
      </c>
      <c r="AM159" t="s">
        <v>2678</v>
      </c>
      <c r="AN159" t="s">
        <v>3221</v>
      </c>
      <c r="AO159" t="s">
        <v>3222</v>
      </c>
      <c r="AP159" t="s">
        <v>74</v>
      </c>
      <c r="AQ159" t="s">
        <v>74</v>
      </c>
      <c r="AR159" t="s">
        <v>3223</v>
      </c>
      <c r="AS159" t="s">
        <v>3224</v>
      </c>
      <c r="AT159" t="s">
        <v>2778</v>
      </c>
      <c r="AU159">
        <v>2023</v>
      </c>
      <c r="AV159">
        <v>93</v>
      </c>
      <c r="AW159">
        <v>1</v>
      </c>
      <c r="AX159" t="s">
        <v>74</v>
      </c>
      <c r="AY159" t="s">
        <v>74</v>
      </c>
      <c r="AZ159" t="s">
        <v>74</v>
      </c>
      <c r="BA159" t="s">
        <v>74</v>
      </c>
      <c r="BB159">
        <v>37</v>
      </c>
      <c r="BC159">
        <v>43</v>
      </c>
      <c r="BD159" t="s">
        <v>74</v>
      </c>
      <c r="BE159" t="s">
        <v>3225</v>
      </c>
      <c r="BF159" t="str">
        <f>HYPERLINK("http://dx.doi.org/10.24875/ACM.21000325","http://dx.doi.org/10.24875/ACM.21000325")</f>
        <v>http://dx.doi.org/10.24875/ACM.21000325</v>
      </c>
      <c r="BG159" t="s">
        <v>74</v>
      </c>
      <c r="BH159" t="s">
        <v>74</v>
      </c>
      <c r="BI159">
        <v>7</v>
      </c>
      <c r="BJ159" t="s">
        <v>3226</v>
      </c>
      <c r="BK159" t="s">
        <v>187</v>
      </c>
      <c r="BL159" t="s">
        <v>3227</v>
      </c>
      <c r="BM159" t="s">
        <v>3228</v>
      </c>
      <c r="BN159">
        <v>36757777</v>
      </c>
      <c r="BO159" t="s">
        <v>131</v>
      </c>
      <c r="BP159" t="s">
        <v>74</v>
      </c>
      <c r="BQ159" t="s">
        <v>74</v>
      </c>
      <c r="BR159" t="s">
        <v>105</v>
      </c>
      <c r="BS159" t="s">
        <v>3229</v>
      </c>
      <c r="BT159" t="str">
        <f>HYPERLINK("https%3A%2F%2Fwww.webofscience.com%2Fwos%2Fwoscc%2Ffull-record%2FWOS:000926742200005","View Full Record in Web of Science")</f>
        <v>View Full Record in Web of Science</v>
      </c>
    </row>
    <row r="160" spans="1:72" x14ac:dyDescent="0.2">
      <c r="A160" t="s">
        <v>72</v>
      </c>
      <c r="B160" t="s">
        <v>2954</v>
      </c>
      <c r="C160" t="s">
        <v>74</v>
      </c>
      <c r="D160" t="s">
        <v>74</v>
      </c>
      <c r="E160" t="s">
        <v>74</v>
      </c>
      <c r="F160" t="s">
        <v>2955</v>
      </c>
      <c r="G160" t="s">
        <v>74</v>
      </c>
      <c r="H160" t="s">
        <v>74</v>
      </c>
      <c r="I160" t="s">
        <v>2956</v>
      </c>
      <c r="J160" t="s">
        <v>2957</v>
      </c>
      <c r="K160" t="s">
        <v>74</v>
      </c>
      <c r="L160" t="s">
        <v>74</v>
      </c>
      <c r="M160" t="s">
        <v>78</v>
      </c>
      <c r="N160" t="s">
        <v>79</v>
      </c>
      <c r="O160" t="s">
        <v>74</v>
      </c>
      <c r="P160" t="s">
        <v>74</v>
      </c>
      <c r="Q160" t="s">
        <v>74</v>
      </c>
      <c r="R160" t="s">
        <v>74</v>
      </c>
      <c r="S160" t="s">
        <v>74</v>
      </c>
      <c r="T160" t="s">
        <v>2958</v>
      </c>
      <c r="U160" t="s">
        <v>2959</v>
      </c>
      <c r="V160" t="s">
        <v>2960</v>
      </c>
      <c r="W160" s="1" t="s">
        <v>2961</v>
      </c>
      <c r="X160" t="s">
        <v>2962</v>
      </c>
      <c r="Y160" t="s">
        <v>2963</v>
      </c>
      <c r="Z160" t="s">
        <v>2964</v>
      </c>
      <c r="AA160" t="s">
        <v>74</v>
      </c>
      <c r="AB160" t="s">
        <v>74</v>
      </c>
      <c r="AC160" t="s">
        <v>2965</v>
      </c>
      <c r="AD160" t="s">
        <v>2965</v>
      </c>
      <c r="AE160" t="s">
        <v>2966</v>
      </c>
      <c r="AF160" t="s">
        <v>2967</v>
      </c>
      <c r="AG160">
        <v>135</v>
      </c>
      <c r="AH160">
        <v>0</v>
      </c>
      <c r="AI160">
        <v>0</v>
      </c>
      <c r="AJ160">
        <v>1</v>
      </c>
      <c r="AK160">
        <v>1</v>
      </c>
      <c r="AL160" t="s">
        <v>263</v>
      </c>
      <c r="AM160" t="s">
        <v>264</v>
      </c>
      <c r="AN160" t="s">
        <v>265</v>
      </c>
      <c r="AO160" t="s">
        <v>2968</v>
      </c>
      <c r="AP160" t="s">
        <v>2969</v>
      </c>
      <c r="AQ160" t="s">
        <v>74</v>
      </c>
      <c r="AR160" t="s">
        <v>2970</v>
      </c>
      <c r="AS160" t="s">
        <v>2971</v>
      </c>
      <c r="AT160" t="s">
        <v>295</v>
      </c>
      <c r="AU160">
        <v>2022</v>
      </c>
      <c r="AV160">
        <v>441</v>
      </c>
      <c r="AW160" t="s">
        <v>74</v>
      </c>
      <c r="AX160" t="s">
        <v>74</v>
      </c>
      <c r="AY160" t="s">
        <v>74</v>
      </c>
      <c r="AZ160" t="s">
        <v>74</v>
      </c>
      <c r="BA160" t="s">
        <v>74</v>
      </c>
      <c r="BB160" t="s">
        <v>74</v>
      </c>
      <c r="BC160" t="s">
        <v>74</v>
      </c>
      <c r="BD160">
        <v>106274</v>
      </c>
      <c r="BE160" t="s">
        <v>2972</v>
      </c>
      <c r="BF160" t="str">
        <f>HYPERLINK("http://dx.doi.org/10.1016/j.sedgeo.2022.106274","http://dx.doi.org/10.1016/j.sedgeo.2022.106274")</f>
        <v>http://dx.doi.org/10.1016/j.sedgeo.2022.106274</v>
      </c>
      <c r="BG160" t="s">
        <v>74</v>
      </c>
      <c r="BH160" t="s">
        <v>2973</v>
      </c>
      <c r="BI160">
        <v>21</v>
      </c>
      <c r="BJ160" t="s">
        <v>2301</v>
      </c>
      <c r="BK160" t="s">
        <v>102</v>
      </c>
      <c r="BL160" t="s">
        <v>2301</v>
      </c>
      <c r="BM160" t="s">
        <v>2974</v>
      </c>
      <c r="BN160" t="s">
        <v>74</v>
      </c>
      <c r="BO160" t="s">
        <v>74</v>
      </c>
      <c r="BP160" t="s">
        <v>74</v>
      </c>
      <c r="BQ160" t="s">
        <v>74</v>
      </c>
      <c r="BR160" t="s">
        <v>105</v>
      </c>
      <c r="BS160" t="s">
        <v>2975</v>
      </c>
      <c r="BT160" t="str">
        <f>HYPERLINK("https%3A%2F%2Fwww.webofscience.com%2Fwos%2Fwoscc%2Ffull-record%2FWOS:000914151000005","View Full Record in Web of Science")</f>
        <v>View Full Record in Web of Science</v>
      </c>
    </row>
    <row r="161" spans="1:72" x14ac:dyDescent="0.2">
      <c r="A161" t="s">
        <v>72</v>
      </c>
      <c r="B161" t="s">
        <v>6013</v>
      </c>
      <c r="C161" t="s">
        <v>74</v>
      </c>
      <c r="D161" t="s">
        <v>74</v>
      </c>
      <c r="E161" t="s">
        <v>74</v>
      </c>
      <c r="F161" t="s">
        <v>6014</v>
      </c>
      <c r="G161" t="s">
        <v>74</v>
      </c>
      <c r="H161" t="s">
        <v>74</v>
      </c>
      <c r="I161" t="s">
        <v>6015</v>
      </c>
      <c r="J161" t="s">
        <v>6016</v>
      </c>
      <c r="K161" t="s">
        <v>74</v>
      </c>
      <c r="L161" t="s">
        <v>74</v>
      </c>
      <c r="M161" t="s">
        <v>78</v>
      </c>
      <c r="N161" t="s">
        <v>137</v>
      </c>
      <c r="O161" t="s">
        <v>74</v>
      </c>
      <c r="P161" t="s">
        <v>74</v>
      </c>
      <c r="Q161" t="s">
        <v>74</v>
      </c>
      <c r="R161" t="s">
        <v>74</v>
      </c>
      <c r="S161" t="s">
        <v>74</v>
      </c>
      <c r="T161" t="s">
        <v>6017</v>
      </c>
      <c r="U161" t="s">
        <v>6018</v>
      </c>
      <c r="V161" t="s">
        <v>6019</v>
      </c>
      <c r="W161" s="1" t="s">
        <v>6020</v>
      </c>
      <c r="X161" t="s">
        <v>6021</v>
      </c>
      <c r="Y161" t="s">
        <v>6022</v>
      </c>
      <c r="Z161" t="s">
        <v>6023</v>
      </c>
      <c r="AA161" t="s">
        <v>6024</v>
      </c>
      <c r="AB161" t="s">
        <v>6025</v>
      </c>
      <c r="AC161" t="s">
        <v>6026</v>
      </c>
      <c r="AD161" t="s">
        <v>6027</v>
      </c>
      <c r="AE161" t="s">
        <v>6028</v>
      </c>
      <c r="AF161" t="s">
        <v>6029</v>
      </c>
      <c r="AG161">
        <v>65</v>
      </c>
      <c r="AH161">
        <v>0</v>
      </c>
      <c r="AI161">
        <v>0</v>
      </c>
      <c r="AJ161">
        <v>1</v>
      </c>
      <c r="AK161">
        <v>1</v>
      </c>
      <c r="AL161" t="s">
        <v>1128</v>
      </c>
      <c r="AM161" t="s">
        <v>1129</v>
      </c>
      <c r="AN161" t="s">
        <v>1130</v>
      </c>
      <c r="AO161" t="s">
        <v>6030</v>
      </c>
      <c r="AP161" t="s">
        <v>6031</v>
      </c>
      <c r="AQ161" t="s">
        <v>74</v>
      </c>
      <c r="AR161" t="s">
        <v>6032</v>
      </c>
      <c r="AS161" t="s">
        <v>6033</v>
      </c>
      <c r="AT161" t="s">
        <v>6034</v>
      </c>
      <c r="AU161">
        <v>2022</v>
      </c>
      <c r="AV161" t="s">
        <v>74</v>
      </c>
      <c r="AW161" t="s">
        <v>74</v>
      </c>
      <c r="AX161" t="s">
        <v>74</v>
      </c>
      <c r="AY161" t="s">
        <v>74</v>
      </c>
      <c r="AZ161" t="s">
        <v>74</v>
      </c>
      <c r="BA161" t="s">
        <v>74</v>
      </c>
      <c r="BB161" t="s">
        <v>74</v>
      </c>
      <c r="BC161" t="s">
        <v>74</v>
      </c>
      <c r="BD161" t="s">
        <v>74</v>
      </c>
      <c r="BE161" t="s">
        <v>6035</v>
      </c>
      <c r="BF161" t="str">
        <f>HYPERLINK("http://dx.doi.org/10.1111/mve.12633","http://dx.doi.org/10.1111/mve.12633")</f>
        <v>http://dx.doi.org/10.1111/mve.12633</v>
      </c>
      <c r="BG161" t="s">
        <v>74</v>
      </c>
      <c r="BH161" t="s">
        <v>158</v>
      </c>
      <c r="BI161">
        <v>14</v>
      </c>
      <c r="BJ161" t="s">
        <v>6036</v>
      </c>
      <c r="BK161" t="s">
        <v>102</v>
      </c>
      <c r="BL161" t="s">
        <v>6036</v>
      </c>
      <c r="BM161" t="s">
        <v>6037</v>
      </c>
      <c r="BN161">
        <v>36543747</v>
      </c>
      <c r="BO161" t="s">
        <v>74</v>
      </c>
      <c r="BP161" t="s">
        <v>74</v>
      </c>
      <c r="BQ161" t="s">
        <v>74</v>
      </c>
      <c r="BR161" t="s">
        <v>105</v>
      </c>
      <c r="BS161" t="s">
        <v>6038</v>
      </c>
      <c r="BT161" t="str">
        <f>HYPERLINK("https%3A%2F%2Fwww.webofscience.com%2Fwos%2Fwoscc%2Ffull-record%2FWOS:000901961400001","View Full Record in Web of Science")</f>
        <v>View Full Record in Web of Science</v>
      </c>
    </row>
    <row r="162" spans="1:72" x14ac:dyDescent="0.2">
      <c r="A162" t="s">
        <v>72</v>
      </c>
      <c r="B162" t="s">
        <v>2364</v>
      </c>
      <c r="C162" t="s">
        <v>74</v>
      </c>
      <c r="D162" t="s">
        <v>74</v>
      </c>
      <c r="E162" t="s">
        <v>74</v>
      </c>
      <c r="F162" t="s">
        <v>2365</v>
      </c>
      <c r="G162" t="s">
        <v>74</v>
      </c>
      <c r="H162" t="s">
        <v>74</v>
      </c>
      <c r="I162" t="s">
        <v>2366</v>
      </c>
      <c r="J162" t="s">
        <v>1852</v>
      </c>
      <c r="K162" t="s">
        <v>74</v>
      </c>
      <c r="L162" t="s">
        <v>74</v>
      </c>
      <c r="M162" t="s">
        <v>1517</v>
      </c>
      <c r="N162" t="s">
        <v>79</v>
      </c>
      <c r="O162" t="s">
        <v>74</v>
      </c>
      <c r="P162" t="s">
        <v>74</v>
      </c>
      <c r="Q162" t="s">
        <v>74</v>
      </c>
      <c r="R162" t="s">
        <v>74</v>
      </c>
      <c r="S162" t="s">
        <v>74</v>
      </c>
      <c r="T162" t="s">
        <v>2367</v>
      </c>
      <c r="U162" t="s">
        <v>74</v>
      </c>
      <c r="V162" t="s">
        <v>2368</v>
      </c>
      <c r="W162" s="1" t="s">
        <v>2369</v>
      </c>
      <c r="X162" t="s">
        <v>142</v>
      </c>
      <c r="Y162" t="s">
        <v>2370</v>
      </c>
      <c r="Z162" t="s">
        <v>2371</v>
      </c>
      <c r="AA162" t="s">
        <v>74</v>
      </c>
      <c r="AB162" t="s">
        <v>74</v>
      </c>
      <c r="AC162" t="s">
        <v>74</v>
      </c>
      <c r="AD162" t="s">
        <v>74</v>
      </c>
      <c r="AE162" t="s">
        <v>74</v>
      </c>
      <c r="AF162" t="s">
        <v>2372</v>
      </c>
      <c r="AG162">
        <v>20</v>
      </c>
      <c r="AH162">
        <v>0</v>
      </c>
      <c r="AI162">
        <v>0</v>
      </c>
      <c r="AJ162">
        <v>0</v>
      </c>
      <c r="AK162">
        <v>0</v>
      </c>
      <c r="AL162" t="s">
        <v>1857</v>
      </c>
      <c r="AM162" t="s">
        <v>823</v>
      </c>
      <c r="AN162" t="s">
        <v>1858</v>
      </c>
      <c r="AO162" t="s">
        <v>1859</v>
      </c>
      <c r="AP162" t="s">
        <v>74</v>
      </c>
      <c r="AQ162" t="s">
        <v>74</v>
      </c>
      <c r="AR162" t="s">
        <v>1860</v>
      </c>
      <c r="AS162" t="s">
        <v>1861</v>
      </c>
      <c r="AT162" t="s">
        <v>74</v>
      </c>
      <c r="AU162">
        <v>2023</v>
      </c>
      <c r="AV162">
        <v>14</v>
      </c>
      <c r="AW162">
        <v>4</v>
      </c>
      <c r="AX162" t="s">
        <v>74</v>
      </c>
      <c r="AY162" t="s">
        <v>74</v>
      </c>
      <c r="AZ162" t="s">
        <v>74</v>
      </c>
      <c r="BA162" t="s">
        <v>74</v>
      </c>
      <c r="BB162">
        <v>5272</v>
      </c>
      <c r="BC162">
        <v>5292</v>
      </c>
      <c r="BD162" t="s">
        <v>74</v>
      </c>
      <c r="BE162" t="s">
        <v>2373</v>
      </c>
      <c r="BF162" t="str">
        <f>HYPERLINK("http://dx.doi.org/10.7769/gesec.v14i4.1981","http://dx.doi.org/10.7769/gesec.v14i4.1981")</f>
        <v>http://dx.doi.org/10.7769/gesec.v14i4.1981</v>
      </c>
      <c r="BG162" t="s">
        <v>74</v>
      </c>
      <c r="BH162" t="s">
        <v>74</v>
      </c>
      <c r="BI162">
        <v>21</v>
      </c>
      <c r="BJ162" t="s">
        <v>934</v>
      </c>
      <c r="BK162" t="s">
        <v>187</v>
      </c>
      <c r="BL162" t="s">
        <v>935</v>
      </c>
      <c r="BM162" t="s">
        <v>2374</v>
      </c>
      <c r="BN162" t="s">
        <v>74</v>
      </c>
      <c r="BO162" t="s">
        <v>190</v>
      </c>
      <c r="BP162" t="s">
        <v>74</v>
      </c>
      <c r="BQ162" t="s">
        <v>74</v>
      </c>
      <c r="BR162" t="s">
        <v>105</v>
      </c>
      <c r="BS162" t="s">
        <v>2375</v>
      </c>
      <c r="BT162" t="str">
        <f>HYPERLINK("https%3A%2F%2Fwww.webofscience.com%2Fwos%2Fwoscc%2Ffull-record%2FWOS:000980721900006","View Full Record in Web of Science")</f>
        <v>View Full Record in Web of Science</v>
      </c>
    </row>
    <row r="163" spans="1:72" x14ac:dyDescent="0.2">
      <c r="A163" t="s">
        <v>72</v>
      </c>
      <c r="B163" t="s">
        <v>2052</v>
      </c>
      <c r="C163" t="s">
        <v>74</v>
      </c>
      <c r="D163" t="s">
        <v>74</v>
      </c>
      <c r="E163" t="s">
        <v>74</v>
      </c>
      <c r="F163" t="s">
        <v>2053</v>
      </c>
      <c r="G163" t="s">
        <v>74</v>
      </c>
      <c r="H163" t="s">
        <v>74</v>
      </c>
      <c r="I163" t="s">
        <v>2054</v>
      </c>
      <c r="J163" t="s">
        <v>2055</v>
      </c>
      <c r="K163" t="s">
        <v>74</v>
      </c>
      <c r="L163" t="s">
        <v>74</v>
      </c>
      <c r="M163" t="s">
        <v>78</v>
      </c>
      <c r="N163" t="s">
        <v>79</v>
      </c>
      <c r="O163" t="s">
        <v>74</v>
      </c>
      <c r="P163" t="s">
        <v>74</v>
      </c>
      <c r="Q163" t="s">
        <v>74</v>
      </c>
      <c r="R163" t="s">
        <v>74</v>
      </c>
      <c r="S163" t="s">
        <v>74</v>
      </c>
      <c r="T163" t="s">
        <v>2056</v>
      </c>
      <c r="U163" t="s">
        <v>74</v>
      </c>
      <c r="V163" t="s">
        <v>2057</v>
      </c>
      <c r="W163" s="1" t="s">
        <v>2058</v>
      </c>
      <c r="X163" t="s">
        <v>142</v>
      </c>
      <c r="Y163" t="s">
        <v>2059</v>
      </c>
      <c r="Z163" t="s">
        <v>2060</v>
      </c>
      <c r="AA163" t="s">
        <v>74</v>
      </c>
      <c r="AB163" t="s">
        <v>74</v>
      </c>
      <c r="AC163" t="s">
        <v>74</v>
      </c>
      <c r="AD163" t="s">
        <v>74</v>
      </c>
      <c r="AE163" t="s">
        <v>74</v>
      </c>
      <c r="AF163" t="s">
        <v>2061</v>
      </c>
      <c r="AG163">
        <v>30</v>
      </c>
      <c r="AH163">
        <v>0</v>
      </c>
      <c r="AI163">
        <v>0</v>
      </c>
      <c r="AJ163">
        <v>4</v>
      </c>
      <c r="AK163">
        <v>4</v>
      </c>
      <c r="AL163" t="s">
        <v>2062</v>
      </c>
      <c r="AM163" t="s">
        <v>410</v>
      </c>
      <c r="AN163" t="s">
        <v>2063</v>
      </c>
      <c r="AO163" t="s">
        <v>2064</v>
      </c>
      <c r="AP163" t="s">
        <v>2065</v>
      </c>
      <c r="AQ163" t="s">
        <v>74</v>
      </c>
      <c r="AR163" t="s">
        <v>2066</v>
      </c>
      <c r="AS163" t="s">
        <v>2067</v>
      </c>
      <c r="AT163" t="s">
        <v>2068</v>
      </c>
      <c r="AU163">
        <v>2022</v>
      </c>
      <c r="AV163">
        <v>67</v>
      </c>
      <c r="AW163" t="s">
        <v>74</v>
      </c>
      <c r="AX163" t="s">
        <v>74</v>
      </c>
      <c r="AY163" t="s">
        <v>74</v>
      </c>
      <c r="AZ163" t="s">
        <v>74</v>
      </c>
      <c r="BA163" t="s">
        <v>74</v>
      </c>
      <c r="BB163">
        <v>191</v>
      </c>
      <c r="BC163">
        <v>216</v>
      </c>
      <c r="BD163" t="s">
        <v>74</v>
      </c>
      <c r="BE163" t="s">
        <v>2069</v>
      </c>
      <c r="BF163" t="str">
        <f>HYPERLINK("http://dx.doi.org/10.35575/rvucn.n67a8","http://dx.doi.org/10.35575/rvucn.n67a8")</f>
        <v>http://dx.doi.org/10.35575/rvucn.n67a8</v>
      </c>
      <c r="BG163" t="s">
        <v>74</v>
      </c>
      <c r="BH163" t="s">
        <v>74</v>
      </c>
      <c r="BI163">
        <v>26</v>
      </c>
      <c r="BJ163" t="s">
        <v>2070</v>
      </c>
      <c r="BK163" t="s">
        <v>187</v>
      </c>
      <c r="BL163" t="s">
        <v>1960</v>
      </c>
      <c r="BM163" t="s">
        <v>2071</v>
      </c>
      <c r="BN163" t="s">
        <v>74</v>
      </c>
      <c r="BO163" t="s">
        <v>1111</v>
      </c>
      <c r="BP163" t="s">
        <v>74</v>
      </c>
      <c r="BQ163" t="s">
        <v>74</v>
      </c>
      <c r="BR163" t="s">
        <v>105</v>
      </c>
      <c r="BS163" t="s">
        <v>2072</v>
      </c>
      <c r="BT163" t="str">
        <f>HYPERLINK("https%3A%2F%2Fwww.webofscience.com%2Fwos%2Fwoscc%2Ffull-record%2FWOS:000869513300008","View Full Record in Web of Science")</f>
        <v>View Full Record in Web of Science</v>
      </c>
    </row>
    <row r="164" spans="1:72" x14ac:dyDescent="0.2">
      <c r="A164" t="s">
        <v>72</v>
      </c>
      <c r="B164" t="s">
        <v>249</v>
      </c>
      <c r="C164" t="s">
        <v>74</v>
      </c>
      <c r="D164" t="s">
        <v>74</v>
      </c>
      <c r="E164" t="s">
        <v>74</v>
      </c>
      <c r="F164" t="s">
        <v>250</v>
      </c>
      <c r="G164" t="s">
        <v>74</v>
      </c>
      <c r="H164" t="s">
        <v>74</v>
      </c>
      <c r="I164" t="s">
        <v>251</v>
      </c>
      <c r="J164" t="s">
        <v>252</v>
      </c>
      <c r="K164" t="s">
        <v>74</v>
      </c>
      <c r="L164" t="s">
        <v>74</v>
      </c>
      <c r="M164" t="s">
        <v>78</v>
      </c>
      <c r="N164" t="s">
        <v>79</v>
      </c>
      <c r="O164" t="s">
        <v>74</v>
      </c>
      <c r="P164" t="s">
        <v>74</v>
      </c>
      <c r="Q164" t="s">
        <v>74</v>
      </c>
      <c r="R164" t="s">
        <v>74</v>
      </c>
      <c r="S164" t="s">
        <v>74</v>
      </c>
      <c r="T164" t="s">
        <v>253</v>
      </c>
      <c r="U164" t="s">
        <v>74</v>
      </c>
      <c r="V164" t="s">
        <v>254</v>
      </c>
      <c r="W164" s="1" t="s">
        <v>255</v>
      </c>
      <c r="X164" t="s">
        <v>256</v>
      </c>
      <c r="Y164" t="s">
        <v>257</v>
      </c>
      <c r="Z164" t="s">
        <v>258</v>
      </c>
      <c r="AA164" t="s">
        <v>74</v>
      </c>
      <c r="AB164" t="s">
        <v>259</v>
      </c>
      <c r="AC164" t="s">
        <v>260</v>
      </c>
      <c r="AD164" t="s">
        <v>260</v>
      </c>
      <c r="AE164" t="s">
        <v>261</v>
      </c>
      <c r="AF164" t="s">
        <v>262</v>
      </c>
      <c r="AG164">
        <v>17</v>
      </c>
      <c r="AH164">
        <v>1</v>
      </c>
      <c r="AI164">
        <v>1</v>
      </c>
      <c r="AJ164">
        <v>0</v>
      </c>
      <c r="AK164">
        <v>1</v>
      </c>
      <c r="AL164" t="s">
        <v>263</v>
      </c>
      <c r="AM164" t="s">
        <v>264</v>
      </c>
      <c r="AN164" t="s">
        <v>265</v>
      </c>
      <c r="AO164" t="s">
        <v>74</v>
      </c>
      <c r="AP164" t="s">
        <v>266</v>
      </c>
      <c r="AQ164" t="s">
        <v>74</v>
      </c>
      <c r="AR164" t="s">
        <v>252</v>
      </c>
      <c r="AS164" t="s">
        <v>267</v>
      </c>
      <c r="AT164" t="s">
        <v>268</v>
      </c>
      <c r="AU164">
        <v>2022</v>
      </c>
      <c r="AV164">
        <v>11</v>
      </c>
      <c r="AW164" t="s">
        <v>74</v>
      </c>
      <c r="AX164" t="s">
        <v>74</v>
      </c>
      <c r="AY164" t="s">
        <v>74</v>
      </c>
      <c r="AZ164" t="s">
        <v>74</v>
      </c>
      <c r="BA164" t="s">
        <v>74</v>
      </c>
      <c r="BB164" t="s">
        <v>74</v>
      </c>
      <c r="BC164" t="s">
        <v>74</v>
      </c>
      <c r="BD164" t="s">
        <v>269</v>
      </c>
      <c r="BE164" t="s">
        <v>270</v>
      </c>
      <c r="BF164" t="str">
        <f>HYPERLINK("http://dx.doi.org/10.1016/j.ohx.2022.e00306","http://dx.doi.org/10.1016/j.ohx.2022.e00306")</f>
        <v>http://dx.doi.org/10.1016/j.ohx.2022.e00306</v>
      </c>
      <c r="BG164" t="s">
        <v>74</v>
      </c>
      <c r="BH164" t="s">
        <v>271</v>
      </c>
      <c r="BI164">
        <v>15</v>
      </c>
      <c r="BJ164" t="s">
        <v>272</v>
      </c>
      <c r="BK164" t="s">
        <v>187</v>
      </c>
      <c r="BL164" t="s">
        <v>273</v>
      </c>
      <c r="BM164" t="s">
        <v>274</v>
      </c>
      <c r="BN164">
        <v>35509895</v>
      </c>
      <c r="BO164" t="s">
        <v>131</v>
      </c>
      <c r="BP164" t="s">
        <v>74</v>
      </c>
      <c r="BQ164" t="s">
        <v>74</v>
      </c>
      <c r="BR164" t="s">
        <v>105</v>
      </c>
      <c r="BS164" t="s">
        <v>275</v>
      </c>
      <c r="BT164" t="str">
        <f>HYPERLINK("https%3A%2F%2Fwww.webofscience.com%2Fwos%2Fwoscc%2Ffull-record%2FWOS:000803034600004","View Full Record in Web of Science")</f>
        <v>View Full Record in Web of Science</v>
      </c>
    </row>
    <row r="165" spans="1:72" x14ac:dyDescent="0.2">
      <c r="A165" t="s">
        <v>72</v>
      </c>
      <c r="B165" t="s">
        <v>2073</v>
      </c>
      <c r="C165" t="s">
        <v>74</v>
      </c>
      <c r="D165" t="s">
        <v>74</v>
      </c>
      <c r="E165" t="s">
        <v>74</v>
      </c>
      <c r="F165" t="s">
        <v>2074</v>
      </c>
      <c r="G165" t="s">
        <v>74</v>
      </c>
      <c r="H165" t="s">
        <v>74</v>
      </c>
      <c r="I165" t="s">
        <v>2075</v>
      </c>
      <c r="J165" t="s">
        <v>2076</v>
      </c>
      <c r="K165" t="s">
        <v>74</v>
      </c>
      <c r="L165" t="s">
        <v>74</v>
      </c>
      <c r="M165" t="s">
        <v>1517</v>
      </c>
      <c r="N165" t="s">
        <v>79</v>
      </c>
      <c r="O165" t="s">
        <v>74</v>
      </c>
      <c r="P165" t="s">
        <v>74</v>
      </c>
      <c r="Q165" t="s">
        <v>74</v>
      </c>
      <c r="R165" t="s">
        <v>74</v>
      </c>
      <c r="S165" t="s">
        <v>74</v>
      </c>
      <c r="T165" t="s">
        <v>2077</v>
      </c>
      <c r="U165" t="s">
        <v>2078</v>
      </c>
      <c r="V165" t="s">
        <v>2079</v>
      </c>
      <c r="W165" s="1" t="s">
        <v>2080</v>
      </c>
      <c r="X165" t="s">
        <v>142</v>
      </c>
      <c r="Y165" t="s">
        <v>2081</v>
      </c>
      <c r="Z165" t="s">
        <v>2082</v>
      </c>
      <c r="AA165" t="s">
        <v>74</v>
      </c>
      <c r="AB165" t="s">
        <v>74</v>
      </c>
      <c r="AC165" t="s">
        <v>74</v>
      </c>
      <c r="AD165" t="s">
        <v>74</v>
      </c>
      <c r="AE165" t="s">
        <v>74</v>
      </c>
      <c r="AF165" t="s">
        <v>2083</v>
      </c>
      <c r="AG165">
        <v>40</v>
      </c>
      <c r="AH165">
        <v>1</v>
      </c>
      <c r="AI165">
        <v>1</v>
      </c>
      <c r="AJ165">
        <v>0</v>
      </c>
      <c r="AK165">
        <v>0</v>
      </c>
      <c r="AL165" t="s">
        <v>2084</v>
      </c>
      <c r="AM165" t="s">
        <v>2085</v>
      </c>
      <c r="AN165" t="s">
        <v>2086</v>
      </c>
      <c r="AO165" t="s">
        <v>2087</v>
      </c>
      <c r="AP165" t="s">
        <v>74</v>
      </c>
      <c r="AQ165" t="s">
        <v>74</v>
      </c>
      <c r="AR165" t="s">
        <v>2076</v>
      </c>
      <c r="AS165" t="s">
        <v>2088</v>
      </c>
      <c r="AT165" t="s">
        <v>931</v>
      </c>
      <c r="AU165">
        <v>2022</v>
      </c>
      <c r="AV165">
        <v>31</v>
      </c>
      <c r="AW165">
        <v>2</v>
      </c>
      <c r="AX165" t="s">
        <v>74</v>
      </c>
      <c r="AY165" t="s">
        <v>74</v>
      </c>
      <c r="AZ165" t="s">
        <v>74</v>
      </c>
      <c r="BA165" t="s">
        <v>74</v>
      </c>
      <c r="BB165" t="s">
        <v>74</v>
      </c>
      <c r="BC165" t="s">
        <v>74</v>
      </c>
      <c r="BD165">
        <v>2280</v>
      </c>
      <c r="BE165" t="s">
        <v>2089</v>
      </c>
      <c r="BF165" t="str">
        <f>HYPERLINK("http://dx.doi.org/10.7818/ECOS.2280","http://dx.doi.org/10.7818/ECOS.2280")</f>
        <v>http://dx.doi.org/10.7818/ECOS.2280</v>
      </c>
      <c r="BG165" t="s">
        <v>74</v>
      </c>
      <c r="BH165" t="s">
        <v>74</v>
      </c>
      <c r="BI165">
        <v>7</v>
      </c>
      <c r="BJ165" t="s">
        <v>2090</v>
      </c>
      <c r="BK165" t="s">
        <v>187</v>
      </c>
      <c r="BL165" t="s">
        <v>1033</v>
      </c>
      <c r="BM165" t="s">
        <v>2091</v>
      </c>
      <c r="BN165" t="s">
        <v>74</v>
      </c>
      <c r="BO165" t="s">
        <v>190</v>
      </c>
      <c r="BP165" t="s">
        <v>74</v>
      </c>
      <c r="BQ165" t="s">
        <v>74</v>
      </c>
      <c r="BR165" t="s">
        <v>105</v>
      </c>
      <c r="BS165" t="s">
        <v>2092</v>
      </c>
      <c r="BT165" t="str">
        <f>HYPERLINK("https%3A%2F%2Fwww.webofscience.com%2Fwos%2Fwoscc%2Ffull-record%2FWOS:000830892100006","View Full Record in Web of Science")</f>
        <v>View Full Record in Web of Science</v>
      </c>
    </row>
    <row r="166" spans="1:72" x14ac:dyDescent="0.2">
      <c r="A166" t="s">
        <v>72</v>
      </c>
      <c r="B166" t="s">
        <v>5738</v>
      </c>
      <c r="C166" t="s">
        <v>74</v>
      </c>
      <c r="D166" t="s">
        <v>74</v>
      </c>
      <c r="E166" t="s">
        <v>74</v>
      </c>
      <c r="F166" t="s">
        <v>5739</v>
      </c>
      <c r="G166" t="s">
        <v>74</v>
      </c>
      <c r="H166" t="s">
        <v>74</v>
      </c>
      <c r="I166" t="s">
        <v>5740</v>
      </c>
      <c r="J166" t="s">
        <v>4341</v>
      </c>
      <c r="K166" t="s">
        <v>74</v>
      </c>
      <c r="L166" t="s">
        <v>74</v>
      </c>
      <c r="M166" t="s">
        <v>78</v>
      </c>
      <c r="N166" t="s">
        <v>79</v>
      </c>
      <c r="O166" t="s">
        <v>74</v>
      </c>
      <c r="P166" t="s">
        <v>74</v>
      </c>
      <c r="Q166" t="s">
        <v>74</v>
      </c>
      <c r="R166" t="s">
        <v>74</v>
      </c>
      <c r="S166" t="s">
        <v>74</v>
      </c>
      <c r="T166" t="s">
        <v>5741</v>
      </c>
      <c r="U166" t="s">
        <v>74</v>
      </c>
      <c r="V166" t="s">
        <v>5742</v>
      </c>
      <c r="W166" s="1" t="s">
        <v>5743</v>
      </c>
      <c r="X166" t="s">
        <v>84</v>
      </c>
      <c r="Y166" t="s">
        <v>5714</v>
      </c>
      <c r="Z166" t="s">
        <v>5744</v>
      </c>
      <c r="AA166" t="s">
        <v>74</v>
      </c>
      <c r="AB166" t="s">
        <v>5745</v>
      </c>
      <c r="AC166" t="s">
        <v>74</v>
      </c>
      <c r="AD166" t="s">
        <v>74</v>
      </c>
      <c r="AE166" t="s">
        <v>74</v>
      </c>
      <c r="AF166" t="s">
        <v>5746</v>
      </c>
      <c r="AG166">
        <v>13</v>
      </c>
      <c r="AH166">
        <v>0</v>
      </c>
      <c r="AI166">
        <v>0</v>
      </c>
      <c r="AJ166">
        <v>1</v>
      </c>
      <c r="AK166">
        <v>1</v>
      </c>
      <c r="AL166" t="s">
        <v>1930</v>
      </c>
      <c r="AM166" t="s">
        <v>1931</v>
      </c>
      <c r="AN166" t="s">
        <v>1932</v>
      </c>
      <c r="AO166" t="s">
        <v>4350</v>
      </c>
      <c r="AP166" t="s">
        <v>4351</v>
      </c>
      <c r="AQ166" t="s">
        <v>74</v>
      </c>
      <c r="AR166" t="s">
        <v>4352</v>
      </c>
      <c r="AS166" t="s">
        <v>4353</v>
      </c>
      <c r="AT166" t="s">
        <v>3629</v>
      </c>
      <c r="AU166">
        <v>2022</v>
      </c>
      <c r="AV166">
        <v>31</v>
      </c>
      <c r="AW166">
        <v>61</v>
      </c>
      <c r="AX166" t="s">
        <v>74</v>
      </c>
      <c r="AY166" t="s">
        <v>74</v>
      </c>
      <c r="AZ166" t="s">
        <v>74</v>
      </c>
      <c r="BA166" t="s">
        <v>74</v>
      </c>
      <c r="BB166" t="s">
        <v>74</v>
      </c>
      <c r="BC166" t="s">
        <v>74</v>
      </c>
      <c r="BD166" t="s">
        <v>5747</v>
      </c>
      <c r="BE166" t="s">
        <v>5748</v>
      </c>
      <c r="BF166" t="str">
        <f>HYPERLINK("http://dx.doi.org/10.19053/01211129.v31.n61.2022.14724","http://dx.doi.org/10.19053/01211129.v31.n61.2022.14724")</f>
        <v>http://dx.doi.org/10.19053/01211129.v31.n61.2022.14724</v>
      </c>
      <c r="BG166" t="s">
        <v>74</v>
      </c>
      <c r="BH166" t="s">
        <v>74</v>
      </c>
      <c r="BI166">
        <v>21</v>
      </c>
      <c r="BJ166" t="s">
        <v>323</v>
      </c>
      <c r="BK166" t="s">
        <v>187</v>
      </c>
      <c r="BL166" t="s">
        <v>324</v>
      </c>
      <c r="BM166" t="s">
        <v>5749</v>
      </c>
      <c r="BN166" t="s">
        <v>74</v>
      </c>
      <c r="BO166" t="s">
        <v>419</v>
      </c>
      <c r="BP166" t="s">
        <v>74</v>
      </c>
      <c r="BQ166" t="s">
        <v>74</v>
      </c>
      <c r="BR166" t="s">
        <v>105</v>
      </c>
      <c r="BS166" t="s">
        <v>5750</v>
      </c>
      <c r="BT166" t="str">
        <f>HYPERLINK("https%3A%2F%2Fwww.webofscience.com%2Fwos%2Fwoscc%2Ffull-record%2FWOS:000839532300001","View Full Record in Web of Science")</f>
        <v>View Full Record in Web of Science</v>
      </c>
    </row>
    <row r="167" spans="1:72" x14ac:dyDescent="0.2">
      <c r="A167" t="s">
        <v>72</v>
      </c>
      <c r="B167" t="s">
        <v>5708</v>
      </c>
      <c r="C167" t="s">
        <v>74</v>
      </c>
      <c r="D167" t="s">
        <v>74</v>
      </c>
      <c r="E167" t="s">
        <v>74</v>
      </c>
      <c r="F167" t="s">
        <v>5709</v>
      </c>
      <c r="G167" t="s">
        <v>74</v>
      </c>
      <c r="H167" t="s">
        <v>74</v>
      </c>
      <c r="I167" t="s">
        <v>5710</v>
      </c>
      <c r="J167" t="s">
        <v>4341</v>
      </c>
      <c r="K167" t="s">
        <v>74</v>
      </c>
      <c r="L167" t="s">
        <v>74</v>
      </c>
      <c r="M167" t="s">
        <v>78</v>
      </c>
      <c r="N167" t="s">
        <v>79</v>
      </c>
      <c r="O167" t="s">
        <v>74</v>
      </c>
      <c r="P167" t="s">
        <v>74</v>
      </c>
      <c r="Q167" t="s">
        <v>74</v>
      </c>
      <c r="R167" t="s">
        <v>74</v>
      </c>
      <c r="S167" t="s">
        <v>74</v>
      </c>
      <c r="T167" t="s">
        <v>5711</v>
      </c>
      <c r="U167" t="s">
        <v>74</v>
      </c>
      <c r="V167" t="s">
        <v>5712</v>
      </c>
      <c r="W167" s="1" t="s">
        <v>5713</v>
      </c>
      <c r="X167" t="s">
        <v>84</v>
      </c>
      <c r="Y167" t="s">
        <v>5714</v>
      </c>
      <c r="Z167" t="s">
        <v>5715</v>
      </c>
      <c r="AA167" t="s">
        <v>74</v>
      </c>
      <c r="AB167" t="s">
        <v>74</v>
      </c>
      <c r="AC167" t="s">
        <v>74</v>
      </c>
      <c r="AD167" t="s">
        <v>74</v>
      </c>
      <c r="AE167" t="s">
        <v>74</v>
      </c>
      <c r="AF167" t="s">
        <v>5716</v>
      </c>
      <c r="AG167">
        <v>13</v>
      </c>
      <c r="AH167">
        <v>0</v>
      </c>
      <c r="AI167">
        <v>0</v>
      </c>
      <c r="AJ167">
        <v>0</v>
      </c>
      <c r="AK167">
        <v>0</v>
      </c>
      <c r="AL167" t="s">
        <v>1930</v>
      </c>
      <c r="AM167" t="s">
        <v>1931</v>
      </c>
      <c r="AN167" t="s">
        <v>1932</v>
      </c>
      <c r="AO167" t="s">
        <v>4350</v>
      </c>
      <c r="AP167" t="s">
        <v>4351</v>
      </c>
      <c r="AQ167" t="s">
        <v>74</v>
      </c>
      <c r="AR167" t="s">
        <v>4352</v>
      </c>
      <c r="AS167" t="s">
        <v>4353</v>
      </c>
      <c r="AT167" t="s">
        <v>416</v>
      </c>
      <c r="AU167">
        <v>2022</v>
      </c>
      <c r="AV167">
        <v>31</v>
      </c>
      <c r="AW167">
        <v>62</v>
      </c>
      <c r="AX167" t="s">
        <v>74</v>
      </c>
      <c r="AY167" t="s">
        <v>74</v>
      </c>
      <c r="AZ167" t="s">
        <v>74</v>
      </c>
      <c r="BA167" t="s">
        <v>74</v>
      </c>
      <c r="BB167" t="s">
        <v>74</v>
      </c>
      <c r="BC167" t="s">
        <v>74</v>
      </c>
      <c r="BD167" t="s">
        <v>5717</v>
      </c>
      <c r="BE167" t="s">
        <v>5718</v>
      </c>
      <c r="BF167" t="str">
        <f>HYPERLINK("http://dx.doi.org/10.19053/01211129.v31.n62.2022.15319","http://dx.doi.org/10.19053/01211129.v31.n62.2022.15319")</f>
        <v>http://dx.doi.org/10.19053/01211129.v31.n62.2022.15319</v>
      </c>
      <c r="BG167" t="s">
        <v>74</v>
      </c>
      <c r="BH167" t="s">
        <v>74</v>
      </c>
      <c r="BI167">
        <v>17</v>
      </c>
      <c r="BJ167" t="s">
        <v>323</v>
      </c>
      <c r="BK167" t="s">
        <v>187</v>
      </c>
      <c r="BL167" t="s">
        <v>324</v>
      </c>
      <c r="BM167" t="s">
        <v>5719</v>
      </c>
      <c r="BN167" t="s">
        <v>74</v>
      </c>
      <c r="BO167" t="s">
        <v>74</v>
      </c>
      <c r="BP167" t="s">
        <v>74</v>
      </c>
      <c r="BQ167" t="s">
        <v>74</v>
      </c>
      <c r="BR167" t="s">
        <v>105</v>
      </c>
      <c r="BS167" t="s">
        <v>5720</v>
      </c>
      <c r="BT167" t="str">
        <f>HYPERLINK("https%3A%2F%2Fwww.webofscience.com%2Fwos%2Fwoscc%2Ffull-record%2FWOS:000891238100001","View Full Record in Web of Science")</f>
        <v>View Full Record in Web of Science</v>
      </c>
    </row>
    <row r="168" spans="1:72" x14ac:dyDescent="0.2">
      <c r="A168" t="s">
        <v>72</v>
      </c>
      <c r="B168" t="s">
        <v>908</v>
      </c>
      <c r="C168" t="s">
        <v>74</v>
      </c>
      <c r="D168" t="s">
        <v>74</v>
      </c>
      <c r="E168" t="s">
        <v>74</v>
      </c>
      <c r="F168" t="s">
        <v>909</v>
      </c>
      <c r="G168" t="s">
        <v>74</v>
      </c>
      <c r="H168" t="s">
        <v>74</v>
      </c>
      <c r="I168" t="s">
        <v>910</v>
      </c>
      <c r="J168" t="s">
        <v>911</v>
      </c>
      <c r="K168" t="s">
        <v>74</v>
      </c>
      <c r="L168" t="s">
        <v>74</v>
      </c>
      <c r="M168" t="s">
        <v>78</v>
      </c>
      <c r="N168" t="s">
        <v>79</v>
      </c>
      <c r="O168" t="s">
        <v>74</v>
      </c>
      <c r="P168" t="s">
        <v>74</v>
      </c>
      <c r="Q168" t="s">
        <v>74</v>
      </c>
      <c r="R168" t="s">
        <v>74</v>
      </c>
      <c r="S168" t="s">
        <v>74</v>
      </c>
      <c r="T168" t="s">
        <v>912</v>
      </c>
      <c r="U168" t="s">
        <v>913</v>
      </c>
      <c r="V168" t="s">
        <v>914</v>
      </c>
      <c r="W168" s="1" t="s">
        <v>915</v>
      </c>
      <c r="X168" t="s">
        <v>916</v>
      </c>
      <c r="Y168" t="s">
        <v>917</v>
      </c>
      <c r="Z168" t="s">
        <v>918</v>
      </c>
      <c r="AA168" t="s">
        <v>919</v>
      </c>
      <c r="AB168" t="s">
        <v>920</v>
      </c>
      <c r="AC168" t="s">
        <v>921</v>
      </c>
      <c r="AD168" t="s">
        <v>921</v>
      </c>
      <c r="AE168" t="s">
        <v>922</v>
      </c>
      <c r="AF168" t="s">
        <v>923</v>
      </c>
      <c r="AG168">
        <v>103</v>
      </c>
      <c r="AH168">
        <v>0</v>
      </c>
      <c r="AI168">
        <v>0</v>
      </c>
      <c r="AJ168">
        <v>0</v>
      </c>
      <c r="AK168">
        <v>0</v>
      </c>
      <c r="AL168" t="s">
        <v>924</v>
      </c>
      <c r="AM168" t="s">
        <v>925</v>
      </c>
      <c r="AN168" t="s">
        <v>926</v>
      </c>
      <c r="AO168" t="s">
        <v>927</v>
      </c>
      <c r="AP168" t="s">
        <v>928</v>
      </c>
      <c r="AQ168" t="s">
        <v>74</v>
      </c>
      <c r="AR168" t="s">
        <v>929</v>
      </c>
      <c r="AS168" t="s">
        <v>930</v>
      </c>
      <c r="AT168" t="s">
        <v>931</v>
      </c>
      <c r="AU168">
        <v>2022</v>
      </c>
      <c r="AV168">
        <v>38</v>
      </c>
      <c r="AW168">
        <v>73</v>
      </c>
      <c r="AX168" t="s">
        <v>74</v>
      </c>
      <c r="AY168" t="s">
        <v>74</v>
      </c>
      <c r="AZ168" t="s">
        <v>74</v>
      </c>
      <c r="BA168" t="s">
        <v>74</v>
      </c>
      <c r="BB168" t="s">
        <v>74</v>
      </c>
      <c r="BC168" t="s">
        <v>74</v>
      </c>
      <c r="BD168" t="s">
        <v>932</v>
      </c>
      <c r="BE168" t="s">
        <v>933</v>
      </c>
      <c r="BF168" t="str">
        <f>HYPERLINK("http://dx.doi.org/10.25100/cdea.v38i73.11679","http://dx.doi.org/10.25100/cdea.v38i73.11679")</f>
        <v>http://dx.doi.org/10.25100/cdea.v38i73.11679</v>
      </c>
      <c r="BG168" t="s">
        <v>74</v>
      </c>
      <c r="BH168" t="s">
        <v>74</v>
      </c>
      <c r="BI168">
        <v>13</v>
      </c>
      <c r="BJ168" t="s">
        <v>934</v>
      </c>
      <c r="BK168" t="s">
        <v>187</v>
      </c>
      <c r="BL168" t="s">
        <v>935</v>
      </c>
      <c r="BM168" t="s">
        <v>936</v>
      </c>
      <c r="BN168" t="s">
        <v>74</v>
      </c>
      <c r="BO168" t="s">
        <v>190</v>
      </c>
      <c r="BP168" t="s">
        <v>74</v>
      </c>
      <c r="BQ168" t="s">
        <v>74</v>
      </c>
      <c r="BR168" t="s">
        <v>105</v>
      </c>
      <c r="BS168" t="s">
        <v>937</v>
      </c>
      <c r="BT168" t="str">
        <f>HYPERLINK("https%3A%2F%2Fwww.webofscience.com%2Fwos%2Fwoscc%2Ffull-record%2FWOS:000929514500003","View Full Record in Web of Science")</f>
        <v>View Full Record in Web of Science</v>
      </c>
    </row>
    <row r="169" spans="1:72" x14ac:dyDescent="0.2">
      <c r="A169" t="s">
        <v>72</v>
      </c>
      <c r="B169" t="s">
        <v>1837</v>
      </c>
      <c r="C169" t="s">
        <v>74</v>
      </c>
      <c r="D169" t="s">
        <v>74</v>
      </c>
      <c r="E169" t="s">
        <v>74</v>
      </c>
      <c r="F169" t="s">
        <v>1838</v>
      </c>
      <c r="G169" t="s">
        <v>74</v>
      </c>
      <c r="H169" t="s">
        <v>74</v>
      </c>
      <c r="I169" t="s">
        <v>1839</v>
      </c>
      <c r="J169" t="s">
        <v>396</v>
      </c>
      <c r="K169" t="s">
        <v>74</v>
      </c>
      <c r="L169" t="s">
        <v>74</v>
      </c>
      <c r="M169" t="s">
        <v>78</v>
      </c>
      <c r="N169" t="s">
        <v>79</v>
      </c>
      <c r="O169" t="s">
        <v>74</v>
      </c>
      <c r="P169" t="s">
        <v>74</v>
      </c>
      <c r="Q169" t="s">
        <v>74</v>
      </c>
      <c r="R169" t="s">
        <v>74</v>
      </c>
      <c r="S169" t="s">
        <v>74</v>
      </c>
      <c r="T169" t="s">
        <v>1840</v>
      </c>
      <c r="U169" t="s">
        <v>1841</v>
      </c>
      <c r="V169" t="s">
        <v>1842</v>
      </c>
      <c r="W169" s="1" t="s">
        <v>1843</v>
      </c>
      <c r="X169" t="s">
        <v>84</v>
      </c>
      <c r="Y169" t="s">
        <v>1844</v>
      </c>
      <c r="Z169" t="s">
        <v>1845</v>
      </c>
      <c r="AA169" t="s">
        <v>74</v>
      </c>
      <c r="AB169" t="s">
        <v>74</v>
      </c>
      <c r="AC169" t="s">
        <v>74</v>
      </c>
      <c r="AD169" t="s">
        <v>74</v>
      </c>
      <c r="AE169" t="s">
        <v>74</v>
      </c>
      <c r="AF169" t="s">
        <v>1846</v>
      </c>
      <c r="AG169">
        <v>42</v>
      </c>
      <c r="AH169">
        <v>0</v>
      </c>
      <c r="AI169">
        <v>0</v>
      </c>
      <c r="AJ169">
        <v>0</v>
      </c>
      <c r="AK169">
        <v>0</v>
      </c>
      <c r="AL169" t="s">
        <v>409</v>
      </c>
      <c r="AM169" t="s">
        <v>410</v>
      </c>
      <c r="AN169" t="s">
        <v>411</v>
      </c>
      <c r="AO169" t="s">
        <v>412</v>
      </c>
      <c r="AP169" t="s">
        <v>413</v>
      </c>
      <c r="AQ169" t="s">
        <v>74</v>
      </c>
      <c r="AR169" t="s">
        <v>414</v>
      </c>
      <c r="AS169" t="s">
        <v>415</v>
      </c>
      <c r="AT169" t="s">
        <v>980</v>
      </c>
      <c r="AU169">
        <v>2023</v>
      </c>
      <c r="AV169" t="s">
        <v>74</v>
      </c>
      <c r="AW169">
        <v>107</v>
      </c>
      <c r="AX169" t="s">
        <v>74</v>
      </c>
      <c r="AY169" t="s">
        <v>74</v>
      </c>
      <c r="AZ169" t="s">
        <v>74</v>
      </c>
      <c r="BA169" t="s">
        <v>74</v>
      </c>
      <c r="BB169">
        <v>26</v>
      </c>
      <c r="BC169">
        <v>38</v>
      </c>
      <c r="BD169" t="s">
        <v>74</v>
      </c>
      <c r="BE169" t="s">
        <v>1847</v>
      </c>
      <c r="BF169" t="str">
        <f>HYPERLINK("http://dx.doi.org/10.17533/udea.redin.20220371","http://dx.doi.org/10.17533/udea.redin.20220371")</f>
        <v>http://dx.doi.org/10.17533/udea.redin.20220371</v>
      </c>
      <c r="BG169" t="s">
        <v>74</v>
      </c>
      <c r="BH169" t="s">
        <v>74</v>
      </c>
      <c r="BI169">
        <v>13</v>
      </c>
      <c r="BJ169" t="s">
        <v>323</v>
      </c>
      <c r="BK169" t="s">
        <v>187</v>
      </c>
      <c r="BL169" t="s">
        <v>324</v>
      </c>
      <c r="BM169" t="s">
        <v>982</v>
      </c>
      <c r="BN169" t="s">
        <v>74</v>
      </c>
      <c r="BO169" t="s">
        <v>131</v>
      </c>
      <c r="BP169" t="s">
        <v>74</v>
      </c>
      <c r="BQ169" t="s">
        <v>74</v>
      </c>
      <c r="BR169" t="s">
        <v>105</v>
      </c>
      <c r="BS169" t="s">
        <v>1848</v>
      </c>
      <c r="BT169" t="str">
        <f>HYPERLINK("https%3A%2F%2Fwww.webofscience.com%2Fwos%2Fwoscc%2Ffull-record%2FWOS:000937341400003","View Full Record in Web of Science")</f>
        <v>View Full Record in Web of Science</v>
      </c>
    </row>
    <row r="170" spans="1:72" x14ac:dyDescent="0.2">
      <c r="A170" t="s">
        <v>72</v>
      </c>
      <c r="B170" t="s">
        <v>5944</v>
      </c>
      <c r="C170" t="s">
        <v>74</v>
      </c>
      <c r="D170" t="s">
        <v>74</v>
      </c>
      <c r="E170" t="s">
        <v>74</v>
      </c>
      <c r="F170" t="s">
        <v>5945</v>
      </c>
      <c r="G170" t="s">
        <v>74</v>
      </c>
      <c r="H170" t="s">
        <v>74</v>
      </c>
      <c r="I170" t="s">
        <v>5946</v>
      </c>
      <c r="J170" t="s">
        <v>4544</v>
      </c>
      <c r="K170" t="s">
        <v>74</v>
      </c>
      <c r="L170" t="s">
        <v>74</v>
      </c>
      <c r="M170" t="s">
        <v>1517</v>
      </c>
      <c r="N170" t="s">
        <v>79</v>
      </c>
      <c r="O170" t="s">
        <v>74</v>
      </c>
      <c r="P170" t="s">
        <v>74</v>
      </c>
      <c r="Q170" t="s">
        <v>74</v>
      </c>
      <c r="R170" t="s">
        <v>74</v>
      </c>
      <c r="S170" t="s">
        <v>74</v>
      </c>
      <c r="T170" t="s">
        <v>74</v>
      </c>
      <c r="U170" t="s">
        <v>74</v>
      </c>
      <c r="V170" t="s">
        <v>5947</v>
      </c>
      <c r="W170" s="1" t="s">
        <v>5948</v>
      </c>
      <c r="X170" t="s">
        <v>5949</v>
      </c>
      <c r="Y170" t="s">
        <v>5950</v>
      </c>
      <c r="Z170" t="s">
        <v>5951</v>
      </c>
      <c r="AA170" t="s">
        <v>74</v>
      </c>
      <c r="AB170" t="s">
        <v>74</v>
      </c>
      <c r="AC170" t="s">
        <v>74</v>
      </c>
      <c r="AD170" t="s">
        <v>74</v>
      </c>
      <c r="AE170" t="s">
        <v>74</v>
      </c>
      <c r="AF170" t="s">
        <v>5952</v>
      </c>
      <c r="AG170">
        <v>16</v>
      </c>
      <c r="AH170">
        <v>0</v>
      </c>
      <c r="AI170">
        <v>0</v>
      </c>
      <c r="AJ170">
        <v>1</v>
      </c>
      <c r="AK170">
        <v>4</v>
      </c>
      <c r="AL170" t="s">
        <v>4544</v>
      </c>
      <c r="AM170" t="s">
        <v>4551</v>
      </c>
      <c r="AN170" t="s">
        <v>4552</v>
      </c>
      <c r="AO170" t="s">
        <v>4553</v>
      </c>
      <c r="AP170" t="s">
        <v>74</v>
      </c>
      <c r="AQ170" t="s">
        <v>74</v>
      </c>
      <c r="AR170" t="s">
        <v>4544</v>
      </c>
      <c r="AS170" t="s">
        <v>4554</v>
      </c>
      <c r="AT170" t="s">
        <v>242</v>
      </c>
      <c r="AU170">
        <v>2022</v>
      </c>
      <c r="AV170">
        <v>47</v>
      </c>
      <c r="AW170">
        <v>7</v>
      </c>
      <c r="AX170" t="s">
        <v>74</v>
      </c>
      <c r="AY170" t="s">
        <v>74</v>
      </c>
      <c r="AZ170" t="s">
        <v>74</v>
      </c>
      <c r="BA170" t="s">
        <v>74</v>
      </c>
      <c r="BB170">
        <v>279</v>
      </c>
      <c r="BC170">
        <v>283</v>
      </c>
      <c r="BD170" t="s">
        <v>74</v>
      </c>
      <c r="BE170" t="s">
        <v>74</v>
      </c>
      <c r="BF170" t="s">
        <v>74</v>
      </c>
      <c r="BG170" t="s">
        <v>74</v>
      </c>
      <c r="BH170" t="s">
        <v>74</v>
      </c>
      <c r="BI170">
        <v>5</v>
      </c>
      <c r="BJ170" t="s">
        <v>2090</v>
      </c>
      <c r="BK170" t="s">
        <v>102</v>
      </c>
      <c r="BL170" t="s">
        <v>1033</v>
      </c>
      <c r="BM170" t="s">
        <v>5953</v>
      </c>
      <c r="BN170" t="s">
        <v>74</v>
      </c>
      <c r="BO170" t="s">
        <v>74</v>
      </c>
      <c r="BP170" t="s">
        <v>74</v>
      </c>
      <c r="BQ170" t="s">
        <v>74</v>
      </c>
      <c r="BR170" t="s">
        <v>105</v>
      </c>
      <c r="BS170" t="s">
        <v>5954</v>
      </c>
      <c r="BT170" t="str">
        <f>HYPERLINK("https%3A%2F%2Fwww.webofscience.com%2Fwos%2Fwoscc%2Ffull-record%2FWOS:000837995800005","View Full Record in Web of Science")</f>
        <v>View Full Record in Web of Science</v>
      </c>
    </row>
    <row r="171" spans="1:72" x14ac:dyDescent="0.2">
      <c r="A171" t="s">
        <v>72</v>
      </c>
      <c r="B171" t="s">
        <v>2131</v>
      </c>
      <c r="C171" t="s">
        <v>74</v>
      </c>
      <c r="D171" t="s">
        <v>74</v>
      </c>
      <c r="E171" t="s">
        <v>74</v>
      </c>
      <c r="F171" t="s">
        <v>2132</v>
      </c>
      <c r="G171" t="s">
        <v>74</v>
      </c>
      <c r="H171" t="s">
        <v>74</v>
      </c>
      <c r="I171" t="s">
        <v>2133</v>
      </c>
      <c r="J171" t="s">
        <v>941</v>
      </c>
      <c r="K171" t="s">
        <v>74</v>
      </c>
      <c r="L171" t="s">
        <v>74</v>
      </c>
      <c r="M171" t="s">
        <v>1517</v>
      </c>
      <c r="N171" t="s">
        <v>79</v>
      </c>
      <c r="O171" t="s">
        <v>74</v>
      </c>
      <c r="P171" t="s">
        <v>74</v>
      </c>
      <c r="Q171" t="s">
        <v>74</v>
      </c>
      <c r="R171" t="s">
        <v>74</v>
      </c>
      <c r="S171" t="s">
        <v>74</v>
      </c>
      <c r="T171" t="s">
        <v>2134</v>
      </c>
      <c r="U171" t="s">
        <v>74</v>
      </c>
      <c r="V171" t="s">
        <v>2135</v>
      </c>
      <c r="W171" s="1" t="s">
        <v>2136</v>
      </c>
      <c r="X171" t="s">
        <v>84</v>
      </c>
      <c r="Y171" t="s">
        <v>2137</v>
      </c>
      <c r="Z171" t="s">
        <v>2138</v>
      </c>
      <c r="AA171" t="s">
        <v>74</v>
      </c>
      <c r="AB171" t="s">
        <v>2139</v>
      </c>
      <c r="AC171" t="s">
        <v>74</v>
      </c>
      <c r="AD171" t="s">
        <v>74</v>
      </c>
      <c r="AE171" t="s">
        <v>74</v>
      </c>
      <c r="AF171" t="s">
        <v>2140</v>
      </c>
      <c r="AG171">
        <v>27</v>
      </c>
      <c r="AH171">
        <v>0</v>
      </c>
      <c r="AI171">
        <v>0</v>
      </c>
      <c r="AJ171">
        <v>0</v>
      </c>
      <c r="AK171">
        <v>7</v>
      </c>
      <c r="AL171" t="s">
        <v>954</v>
      </c>
      <c r="AM171" t="s">
        <v>316</v>
      </c>
      <c r="AN171" t="s">
        <v>955</v>
      </c>
      <c r="AO171" t="s">
        <v>956</v>
      </c>
      <c r="AP171" t="s">
        <v>957</v>
      </c>
      <c r="AQ171" t="s">
        <v>74</v>
      </c>
      <c r="AR171" t="s">
        <v>958</v>
      </c>
      <c r="AS171" t="s">
        <v>959</v>
      </c>
      <c r="AT171" t="s">
        <v>960</v>
      </c>
      <c r="AU171">
        <v>2022</v>
      </c>
      <c r="AV171">
        <v>43</v>
      </c>
      <c r="AW171">
        <v>1</v>
      </c>
      <c r="AX171" t="s">
        <v>74</v>
      </c>
      <c r="AY171" t="s">
        <v>74</v>
      </c>
      <c r="AZ171" t="s">
        <v>74</v>
      </c>
      <c r="BA171" t="s">
        <v>74</v>
      </c>
      <c r="BB171">
        <v>20</v>
      </c>
      <c r="BC171">
        <v>37</v>
      </c>
      <c r="BD171" t="s">
        <v>74</v>
      </c>
      <c r="BE171" t="s">
        <v>2141</v>
      </c>
      <c r="BF171" t="str">
        <f>HYPERLINK("http://dx.doi.org/10.14483/23448350.18329","http://dx.doi.org/10.14483/23448350.18329")</f>
        <v>http://dx.doi.org/10.14483/23448350.18329</v>
      </c>
      <c r="BG171" t="s">
        <v>74</v>
      </c>
      <c r="BH171" t="s">
        <v>74</v>
      </c>
      <c r="BI171">
        <v>18</v>
      </c>
      <c r="BJ171" t="s">
        <v>962</v>
      </c>
      <c r="BK171" t="s">
        <v>187</v>
      </c>
      <c r="BL171" t="s">
        <v>963</v>
      </c>
      <c r="BM171" t="s">
        <v>2142</v>
      </c>
      <c r="BN171" t="s">
        <v>74</v>
      </c>
      <c r="BO171" t="s">
        <v>1111</v>
      </c>
      <c r="BP171" t="s">
        <v>74</v>
      </c>
      <c r="BQ171" t="s">
        <v>74</v>
      </c>
      <c r="BR171" t="s">
        <v>105</v>
      </c>
      <c r="BS171" t="s">
        <v>2143</v>
      </c>
      <c r="BT171" t="str">
        <f>HYPERLINK("https%3A%2F%2Fwww.webofscience.com%2Fwos%2Fwoscc%2Ffull-record%2FWOS:000744168900002","View Full Record in Web of Science")</f>
        <v>View Full Record in Web of Science</v>
      </c>
    </row>
    <row r="172" spans="1:72" x14ac:dyDescent="0.2">
      <c r="A172" t="s">
        <v>72</v>
      </c>
      <c r="B172" t="s">
        <v>2144</v>
      </c>
      <c r="C172" t="s">
        <v>74</v>
      </c>
      <c r="D172" t="s">
        <v>74</v>
      </c>
      <c r="E172" t="s">
        <v>74</v>
      </c>
      <c r="F172" t="s">
        <v>2145</v>
      </c>
      <c r="G172" t="s">
        <v>74</v>
      </c>
      <c r="H172" t="s">
        <v>74</v>
      </c>
      <c r="I172" t="s">
        <v>2146</v>
      </c>
      <c r="J172" t="s">
        <v>2147</v>
      </c>
      <c r="K172" t="s">
        <v>74</v>
      </c>
      <c r="L172" t="s">
        <v>74</v>
      </c>
      <c r="M172" t="s">
        <v>78</v>
      </c>
      <c r="N172" t="s">
        <v>79</v>
      </c>
      <c r="O172" t="s">
        <v>74</v>
      </c>
      <c r="P172" t="s">
        <v>74</v>
      </c>
      <c r="Q172" t="s">
        <v>74</v>
      </c>
      <c r="R172" t="s">
        <v>74</v>
      </c>
      <c r="S172" t="s">
        <v>74</v>
      </c>
      <c r="T172" t="s">
        <v>2148</v>
      </c>
      <c r="U172" t="s">
        <v>2149</v>
      </c>
      <c r="V172" t="s">
        <v>2150</v>
      </c>
      <c r="W172" s="1" t="s">
        <v>2151</v>
      </c>
      <c r="X172" t="s">
        <v>84</v>
      </c>
      <c r="Y172" t="s">
        <v>2152</v>
      </c>
      <c r="Z172" t="s">
        <v>2040</v>
      </c>
      <c r="AA172" t="s">
        <v>639</v>
      </c>
      <c r="AB172" t="s">
        <v>432</v>
      </c>
      <c r="AC172" t="s">
        <v>2153</v>
      </c>
      <c r="AD172" t="s">
        <v>2154</v>
      </c>
      <c r="AE172" t="s">
        <v>2155</v>
      </c>
      <c r="AF172" t="s">
        <v>2156</v>
      </c>
      <c r="AG172">
        <v>33</v>
      </c>
      <c r="AH172">
        <v>0</v>
      </c>
      <c r="AI172">
        <v>0</v>
      </c>
      <c r="AJ172">
        <v>1</v>
      </c>
      <c r="AK172">
        <v>6</v>
      </c>
      <c r="AL172" t="s">
        <v>150</v>
      </c>
      <c r="AM172" t="s">
        <v>1653</v>
      </c>
      <c r="AN172" t="s">
        <v>1654</v>
      </c>
      <c r="AO172" t="s">
        <v>2157</v>
      </c>
      <c r="AP172" t="s">
        <v>2158</v>
      </c>
      <c r="AQ172" t="s">
        <v>74</v>
      </c>
      <c r="AR172" t="s">
        <v>2159</v>
      </c>
      <c r="AS172" t="s">
        <v>2160</v>
      </c>
      <c r="AT172" t="s">
        <v>1753</v>
      </c>
      <c r="AU172">
        <v>2022</v>
      </c>
      <c r="AV172">
        <v>69</v>
      </c>
      <c r="AW172">
        <v>7</v>
      </c>
      <c r="AX172" t="s">
        <v>74</v>
      </c>
      <c r="AY172" t="s">
        <v>74</v>
      </c>
      <c r="AZ172" t="s">
        <v>74</v>
      </c>
      <c r="BA172" t="s">
        <v>74</v>
      </c>
      <c r="BB172">
        <v>2447</v>
      </c>
      <c r="BC172">
        <v>2458</v>
      </c>
      <c r="BD172" t="s">
        <v>74</v>
      </c>
      <c r="BE172" t="s">
        <v>2161</v>
      </c>
      <c r="BF172" t="str">
        <f>HYPERLINK("http://dx.doi.org/10.1007/s10722-022-01383-w","http://dx.doi.org/10.1007/s10722-022-01383-w")</f>
        <v>http://dx.doi.org/10.1007/s10722-022-01383-w</v>
      </c>
      <c r="BG172" t="s">
        <v>74</v>
      </c>
      <c r="BH172" t="s">
        <v>271</v>
      </c>
      <c r="BI172">
        <v>12</v>
      </c>
      <c r="BJ172" t="s">
        <v>2162</v>
      </c>
      <c r="BK172" t="s">
        <v>102</v>
      </c>
      <c r="BL172" t="s">
        <v>2163</v>
      </c>
      <c r="BM172" t="s">
        <v>2164</v>
      </c>
      <c r="BN172" t="s">
        <v>74</v>
      </c>
      <c r="BO172" t="s">
        <v>74</v>
      </c>
      <c r="BP172" t="s">
        <v>74</v>
      </c>
      <c r="BQ172" t="s">
        <v>74</v>
      </c>
      <c r="BR172" t="s">
        <v>105</v>
      </c>
      <c r="BS172" t="s">
        <v>2165</v>
      </c>
      <c r="BT172" t="str">
        <f>HYPERLINK("https%3A%2F%2Fwww.webofscience.com%2Fwos%2Fwoscc%2Ffull-record%2FWOS:000782884800001","View Full Record in Web of Science")</f>
        <v>View Full Record in Web of Science</v>
      </c>
    </row>
    <row r="173" spans="1:72" x14ac:dyDescent="0.2">
      <c r="A173" t="s">
        <v>72</v>
      </c>
      <c r="B173" t="s">
        <v>2093</v>
      </c>
      <c r="C173" t="s">
        <v>74</v>
      </c>
      <c r="D173" t="s">
        <v>74</v>
      </c>
      <c r="E173" t="s">
        <v>74</v>
      </c>
      <c r="F173" t="s">
        <v>2094</v>
      </c>
      <c r="G173" t="s">
        <v>74</v>
      </c>
      <c r="H173" t="s">
        <v>74</v>
      </c>
      <c r="I173" t="s">
        <v>2095</v>
      </c>
      <c r="J173" t="s">
        <v>2096</v>
      </c>
      <c r="K173" t="s">
        <v>74</v>
      </c>
      <c r="L173" t="s">
        <v>74</v>
      </c>
      <c r="M173" t="s">
        <v>1517</v>
      </c>
      <c r="N173" t="s">
        <v>79</v>
      </c>
      <c r="O173" t="s">
        <v>74</v>
      </c>
      <c r="P173" t="s">
        <v>74</v>
      </c>
      <c r="Q173" t="s">
        <v>74</v>
      </c>
      <c r="R173" t="s">
        <v>74</v>
      </c>
      <c r="S173" t="s">
        <v>74</v>
      </c>
      <c r="T173" t="s">
        <v>2097</v>
      </c>
      <c r="U173" t="s">
        <v>74</v>
      </c>
      <c r="V173" t="s">
        <v>2098</v>
      </c>
      <c r="W173" s="1" t="s">
        <v>2099</v>
      </c>
      <c r="X173" t="s">
        <v>84</v>
      </c>
      <c r="Y173" t="s">
        <v>2100</v>
      </c>
      <c r="Z173" t="s">
        <v>2101</v>
      </c>
      <c r="AA173" t="s">
        <v>74</v>
      </c>
      <c r="AB173" t="s">
        <v>74</v>
      </c>
      <c r="AC173" t="s">
        <v>74</v>
      </c>
      <c r="AD173" t="s">
        <v>74</v>
      </c>
      <c r="AE173" t="s">
        <v>74</v>
      </c>
      <c r="AF173" t="s">
        <v>2102</v>
      </c>
      <c r="AG173">
        <v>25</v>
      </c>
      <c r="AH173">
        <v>0</v>
      </c>
      <c r="AI173">
        <v>0</v>
      </c>
      <c r="AJ173">
        <v>0</v>
      </c>
      <c r="AK173">
        <v>0</v>
      </c>
      <c r="AL173" t="s">
        <v>2103</v>
      </c>
      <c r="AM173" t="s">
        <v>410</v>
      </c>
      <c r="AN173" t="s">
        <v>2104</v>
      </c>
      <c r="AO173" t="s">
        <v>2105</v>
      </c>
      <c r="AP173" t="s">
        <v>74</v>
      </c>
      <c r="AQ173" t="s">
        <v>74</v>
      </c>
      <c r="AR173" t="s">
        <v>2106</v>
      </c>
      <c r="AS173" t="s">
        <v>2107</v>
      </c>
      <c r="AT173" t="s">
        <v>931</v>
      </c>
      <c r="AU173">
        <v>2022</v>
      </c>
      <c r="AV173">
        <v>14</v>
      </c>
      <c r="AW173">
        <v>30</v>
      </c>
      <c r="AX173" t="s">
        <v>74</v>
      </c>
      <c r="AY173" t="s">
        <v>74</v>
      </c>
      <c r="AZ173" t="s">
        <v>74</v>
      </c>
      <c r="BA173" t="s">
        <v>74</v>
      </c>
      <c r="BB173">
        <v>144</v>
      </c>
      <c r="BC173">
        <v>175</v>
      </c>
      <c r="BD173" t="s">
        <v>74</v>
      </c>
      <c r="BE173" t="s">
        <v>2108</v>
      </c>
      <c r="BF173" t="str">
        <f>HYPERLINK("http://dx.doi.org/10.15446/historelo.v14n30.93867","http://dx.doi.org/10.15446/historelo.v14n30.93867")</f>
        <v>http://dx.doi.org/10.15446/historelo.v14n30.93867</v>
      </c>
      <c r="BG173" t="s">
        <v>74</v>
      </c>
      <c r="BH173" t="s">
        <v>74</v>
      </c>
      <c r="BI173">
        <v>32</v>
      </c>
      <c r="BJ173" t="s">
        <v>2109</v>
      </c>
      <c r="BK173" t="s">
        <v>187</v>
      </c>
      <c r="BL173" t="s">
        <v>2109</v>
      </c>
      <c r="BM173" t="s">
        <v>2110</v>
      </c>
      <c r="BN173" t="s">
        <v>74</v>
      </c>
      <c r="BO173" t="s">
        <v>419</v>
      </c>
      <c r="BP173" t="s">
        <v>74</v>
      </c>
      <c r="BQ173" t="s">
        <v>74</v>
      </c>
      <c r="BR173" t="s">
        <v>105</v>
      </c>
      <c r="BS173" t="s">
        <v>2111</v>
      </c>
      <c r="BT173" t="str">
        <f>HYPERLINK("https%3A%2F%2Fwww.webofscience.com%2Fwos%2Fwoscc%2Ffull-record%2FWOS:000797205500006","View Full Record in Web of Science")</f>
        <v>View Full Record in Web of Science</v>
      </c>
    </row>
    <row r="174" spans="1:72" x14ac:dyDescent="0.2">
      <c r="A174" t="s">
        <v>72</v>
      </c>
      <c r="B174" t="s">
        <v>6061</v>
      </c>
      <c r="C174" t="s">
        <v>74</v>
      </c>
      <c r="D174" t="s">
        <v>74</v>
      </c>
      <c r="E174" t="s">
        <v>74</v>
      </c>
      <c r="F174" t="s">
        <v>6062</v>
      </c>
      <c r="G174" t="s">
        <v>74</v>
      </c>
      <c r="H174" t="s">
        <v>74</v>
      </c>
      <c r="I174" t="s">
        <v>6063</v>
      </c>
      <c r="J174" t="s">
        <v>6064</v>
      </c>
      <c r="K174" t="s">
        <v>74</v>
      </c>
      <c r="L174" t="s">
        <v>74</v>
      </c>
      <c r="M174" t="s">
        <v>78</v>
      </c>
      <c r="N174" t="s">
        <v>79</v>
      </c>
      <c r="O174" t="s">
        <v>74</v>
      </c>
      <c r="P174" t="s">
        <v>74</v>
      </c>
      <c r="Q174" t="s">
        <v>74</v>
      </c>
      <c r="R174" t="s">
        <v>74</v>
      </c>
      <c r="S174" t="s">
        <v>74</v>
      </c>
      <c r="T174" t="s">
        <v>6065</v>
      </c>
      <c r="U174" t="s">
        <v>6066</v>
      </c>
      <c r="V174" t="s">
        <v>6067</v>
      </c>
      <c r="W174" s="1" t="s">
        <v>6068</v>
      </c>
      <c r="X174" t="s">
        <v>6069</v>
      </c>
      <c r="Y174" t="s">
        <v>6070</v>
      </c>
      <c r="Z174" t="s">
        <v>74</v>
      </c>
      <c r="AA174" t="s">
        <v>74</v>
      </c>
      <c r="AB174" t="s">
        <v>6071</v>
      </c>
      <c r="AC174" t="s">
        <v>74</v>
      </c>
      <c r="AD174" t="s">
        <v>74</v>
      </c>
      <c r="AE174" t="s">
        <v>74</v>
      </c>
      <c r="AF174" t="s">
        <v>6072</v>
      </c>
      <c r="AG174">
        <v>39</v>
      </c>
      <c r="AH174">
        <v>0</v>
      </c>
      <c r="AI174">
        <v>0</v>
      </c>
      <c r="AJ174">
        <v>0</v>
      </c>
      <c r="AK174">
        <v>0</v>
      </c>
      <c r="AL174" t="s">
        <v>6073</v>
      </c>
      <c r="AM174" t="s">
        <v>1383</v>
      </c>
      <c r="AN174" t="s">
        <v>6074</v>
      </c>
      <c r="AO174" t="s">
        <v>6075</v>
      </c>
      <c r="AP174" t="s">
        <v>6076</v>
      </c>
      <c r="AQ174" t="s">
        <v>74</v>
      </c>
      <c r="AR174" t="s">
        <v>6077</v>
      </c>
      <c r="AS174" t="s">
        <v>6078</v>
      </c>
      <c r="AT174" t="s">
        <v>74</v>
      </c>
      <c r="AU174">
        <v>2023</v>
      </c>
      <c r="AV174">
        <v>47</v>
      </c>
      <c r="AW174" t="s">
        <v>74</v>
      </c>
      <c r="AX174" t="s">
        <v>74</v>
      </c>
      <c r="AY174" t="s">
        <v>74</v>
      </c>
      <c r="AZ174" t="s">
        <v>74</v>
      </c>
      <c r="BA174" t="s">
        <v>74</v>
      </c>
      <c r="BB174" t="s">
        <v>74</v>
      </c>
      <c r="BC174" t="s">
        <v>74</v>
      </c>
      <c r="BD174" t="s">
        <v>6079</v>
      </c>
      <c r="BE174" t="s">
        <v>6080</v>
      </c>
      <c r="BF174" t="str">
        <f>HYPERLINK("http://dx.doi.org/10.26633/RPSP.2023.10","http://dx.doi.org/10.26633/RPSP.2023.10")</f>
        <v>http://dx.doi.org/10.26633/RPSP.2023.10</v>
      </c>
      <c r="BG174" t="s">
        <v>74</v>
      </c>
      <c r="BH174" t="s">
        <v>74</v>
      </c>
      <c r="BI174">
        <v>10</v>
      </c>
      <c r="BJ174" t="s">
        <v>6081</v>
      </c>
      <c r="BK174" t="s">
        <v>4335</v>
      </c>
      <c r="BL174" t="s">
        <v>6081</v>
      </c>
      <c r="BM174" t="s">
        <v>6082</v>
      </c>
      <c r="BN174">
        <v>37082532</v>
      </c>
      <c r="BO174" t="s">
        <v>131</v>
      </c>
      <c r="BP174" t="s">
        <v>74</v>
      </c>
      <c r="BQ174" t="s">
        <v>74</v>
      </c>
      <c r="BR174" t="s">
        <v>105</v>
      </c>
      <c r="BS174" t="s">
        <v>6083</v>
      </c>
      <c r="BT174" t="str">
        <f>HYPERLINK("https%3A%2F%2Fwww.webofscience.com%2Fwos%2Fwoscc%2Ffull-record%2FWOS:000973962400001","View Full Record in Web of Science")</f>
        <v>View Full Record in Web of Science</v>
      </c>
    </row>
    <row r="175" spans="1:72" x14ac:dyDescent="0.2">
      <c r="A175" t="s">
        <v>72</v>
      </c>
      <c r="B175" t="s">
        <v>4124</v>
      </c>
      <c r="C175" t="s">
        <v>74</v>
      </c>
      <c r="D175" t="s">
        <v>74</v>
      </c>
      <c r="E175" t="s">
        <v>74</v>
      </c>
      <c r="F175" t="s">
        <v>4125</v>
      </c>
      <c r="G175" t="s">
        <v>74</v>
      </c>
      <c r="H175" t="s">
        <v>74</v>
      </c>
      <c r="I175" t="s">
        <v>4126</v>
      </c>
      <c r="J175" t="s">
        <v>2207</v>
      </c>
      <c r="K175" t="s">
        <v>74</v>
      </c>
      <c r="L175" t="s">
        <v>74</v>
      </c>
      <c r="M175" t="s">
        <v>78</v>
      </c>
      <c r="N175" t="s">
        <v>79</v>
      </c>
      <c r="O175" t="s">
        <v>74</v>
      </c>
      <c r="P175" t="s">
        <v>74</v>
      </c>
      <c r="Q175" t="s">
        <v>74</v>
      </c>
      <c r="R175" t="s">
        <v>74</v>
      </c>
      <c r="S175" t="s">
        <v>74</v>
      </c>
      <c r="T175" t="s">
        <v>4127</v>
      </c>
      <c r="U175" t="s">
        <v>74</v>
      </c>
      <c r="V175" t="s">
        <v>4128</v>
      </c>
      <c r="W175" s="1" t="s">
        <v>4129</v>
      </c>
      <c r="X175" t="s">
        <v>4130</v>
      </c>
      <c r="Y175" t="s">
        <v>4131</v>
      </c>
      <c r="Z175" t="s">
        <v>4132</v>
      </c>
      <c r="AA175" t="s">
        <v>74</v>
      </c>
      <c r="AB175" t="s">
        <v>74</v>
      </c>
      <c r="AC175" t="s">
        <v>74</v>
      </c>
      <c r="AD175" t="s">
        <v>74</v>
      </c>
      <c r="AE175" t="s">
        <v>74</v>
      </c>
      <c r="AF175" t="s">
        <v>4133</v>
      </c>
      <c r="AG175">
        <v>28</v>
      </c>
      <c r="AH175">
        <v>0</v>
      </c>
      <c r="AI175">
        <v>0</v>
      </c>
      <c r="AJ175">
        <v>0</v>
      </c>
      <c r="AK175">
        <v>3</v>
      </c>
      <c r="AL175" t="s">
        <v>2214</v>
      </c>
      <c r="AM175" t="s">
        <v>2215</v>
      </c>
      <c r="AN175" t="s">
        <v>2216</v>
      </c>
      <c r="AO175" t="s">
        <v>2217</v>
      </c>
      <c r="AP175" t="s">
        <v>2218</v>
      </c>
      <c r="AQ175" t="s">
        <v>74</v>
      </c>
      <c r="AR175" t="s">
        <v>2219</v>
      </c>
      <c r="AS175" t="s">
        <v>2220</v>
      </c>
      <c r="AT175" t="s">
        <v>242</v>
      </c>
      <c r="AU175">
        <v>2022</v>
      </c>
      <c r="AV175">
        <v>18</v>
      </c>
      <c r="AW175" t="s">
        <v>74</v>
      </c>
      <c r="AX175" t="s">
        <v>74</v>
      </c>
      <c r="AY175" t="s">
        <v>74</v>
      </c>
      <c r="AZ175" t="s">
        <v>74</v>
      </c>
      <c r="BA175" t="s">
        <v>74</v>
      </c>
      <c r="BB175">
        <v>1</v>
      </c>
      <c r="BC175">
        <v>23</v>
      </c>
      <c r="BD175" t="s">
        <v>74</v>
      </c>
      <c r="BE175" t="s">
        <v>4134</v>
      </c>
      <c r="BF175" t="str">
        <f>HYPERLINK("http://dx.doi.org/10.12957/childphilo.2022.64742","http://dx.doi.org/10.12957/childphilo.2022.64742")</f>
        <v>http://dx.doi.org/10.12957/childphilo.2022.64742</v>
      </c>
      <c r="BG175" t="s">
        <v>74</v>
      </c>
      <c r="BH175" t="s">
        <v>74</v>
      </c>
      <c r="BI175">
        <v>23</v>
      </c>
      <c r="BJ175" t="s">
        <v>2222</v>
      </c>
      <c r="BK175" t="s">
        <v>187</v>
      </c>
      <c r="BL175" t="s">
        <v>2222</v>
      </c>
      <c r="BM175" t="s">
        <v>4135</v>
      </c>
      <c r="BN175" t="s">
        <v>74</v>
      </c>
      <c r="BO175" t="s">
        <v>419</v>
      </c>
      <c r="BP175" t="s">
        <v>74</v>
      </c>
      <c r="BQ175" t="s">
        <v>74</v>
      </c>
      <c r="BR175" t="s">
        <v>105</v>
      </c>
      <c r="BS175" t="s">
        <v>4136</v>
      </c>
      <c r="BT175" t="str">
        <f>HYPERLINK("https%3A%2F%2Fwww.webofscience.com%2Fwos%2Fwoscc%2Ffull-record%2FWOS:000859983300001","View Full Record in Web of Science")</f>
        <v>View Full Record in Web of Science</v>
      </c>
    </row>
    <row r="176" spans="1:72" x14ac:dyDescent="0.2">
      <c r="A176" t="s">
        <v>72</v>
      </c>
      <c r="B176" t="s">
        <v>5173</v>
      </c>
      <c r="C176" t="s">
        <v>74</v>
      </c>
      <c r="D176" t="s">
        <v>74</v>
      </c>
      <c r="E176" t="s">
        <v>74</v>
      </c>
      <c r="F176" t="s">
        <v>5174</v>
      </c>
      <c r="G176" t="s">
        <v>74</v>
      </c>
      <c r="H176" t="s">
        <v>74</v>
      </c>
      <c r="I176" t="s">
        <v>5175</v>
      </c>
      <c r="J176" t="s">
        <v>5176</v>
      </c>
      <c r="K176" t="s">
        <v>74</v>
      </c>
      <c r="L176" t="s">
        <v>74</v>
      </c>
      <c r="M176" t="s">
        <v>78</v>
      </c>
      <c r="N176" t="s">
        <v>137</v>
      </c>
      <c r="O176" t="s">
        <v>74</v>
      </c>
      <c r="P176" t="s">
        <v>74</v>
      </c>
      <c r="Q176" t="s">
        <v>74</v>
      </c>
      <c r="R176" t="s">
        <v>74</v>
      </c>
      <c r="S176" t="s">
        <v>74</v>
      </c>
      <c r="T176" t="s">
        <v>5177</v>
      </c>
      <c r="U176" t="s">
        <v>5178</v>
      </c>
      <c r="V176" t="s">
        <v>5179</v>
      </c>
      <c r="W176" s="1" t="s">
        <v>5180</v>
      </c>
      <c r="X176" t="s">
        <v>5181</v>
      </c>
      <c r="Y176" t="s">
        <v>5182</v>
      </c>
      <c r="Z176" t="s">
        <v>5183</v>
      </c>
      <c r="AA176" t="s">
        <v>5184</v>
      </c>
      <c r="AB176" t="s">
        <v>5185</v>
      </c>
      <c r="AC176" t="s">
        <v>5186</v>
      </c>
      <c r="AD176" t="s">
        <v>5187</v>
      </c>
      <c r="AE176" t="s">
        <v>5188</v>
      </c>
      <c r="AF176" t="s">
        <v>5189</v>
      </c>
      <c r="AG176">
        <v>55</v>
      </c>
      <c r="AH176">
        <v>0</v>
      </c>
      <c r="AI176">
        <v>0</v>
      </c>
      <c r="AJ176">
        <v>0</v>
      </c>
      <c r="AK176">
        <v>0</v>
      </c>
      <c r="AL176" t="s">
        <v>150</v>
      </c>
      <c r="AM176" t="s">
        <v>151</v>
      </c>
      <c r="AN176" t="s">
        <v>152</v>
      </c>
      <c r="AO176" t="s">
        <v>5190</v>
      </c>
      <c r="AP176" t="s">
        <v>5191</v>
      </c>
      <c r="AQ176" t="s">
        <v>74</v>
      </c>
      <c r="AR176" t="s">
        <v>5192</v>
      </c>
      <c r="AS176" t="s">
        <v>5193</v>
      </c>
      <c r="AT176" t="s">
        <v>5194</v>
      </c>
      <c r="AU176">
        <v>2023</v>
      </c>
      <c r="AV176" t="s">
        <v>74</v>
      </c>
      <c r="AW176" t="s">
        <v>74</v>
      </c>
      <c r="AX176" t="s">
        <v>74</v>
      </c>
      <c r="AY176" t="s">
        <v>74</v>
      </c>
      <c r="AZ176" t="s">
        <v>74</v>
      </c>
      <c r="BA176" t="s">
        <v>74</v>
      </c>
      <c r="BB176" t="s">
        <v>74</v>
      </c>
      <c r="BC176" t="s">
        <v>74</v>
      </c>
      <c r="BD176" t="s">
        <v>74</v>
      </c>
      <c r="BE176" t="s">
        <v>5195</v>
      </c>
      <c r="BF176" t="str">
        <f>HYPERLINK("http://dx.doi.org/10.1007/s40732-023-00536-2","http://dx.doi.org/10.1007/s40732-023-00536-2")</f>
        <v>http://dx.doi.org/10.1007/s40732-023-00536-2</v>
      </c>
      <c r="BG176" t="s">
        <v>74</v>
      </c>
      <c r="BH176" t="s">
        <v>4470</v>
      </c>
      <c r="BI176">
        <v>18</v>
      </c>
      <c r="BJ176" t="s">
        <v>2200</v>
      </c>
      <c r="BK176" t="s">
        <v>4335</v>
      </c>
      <c r="BL176" t="s">
        <v>2201</v>
      </c>
      <c r="BM176" t="s">
        <v>5196</v>
      </c>
      <c r="BN176" t="s">
        <v>74</v>
      </c>
      <c r="BO176" t="s">
        <v>74</v>
      </c>
      <c r="BP176" t="s">
        <v>74</v>
      </c>
      <c r="BQ176" t="s">
        <v>74</v>
      </c>
      <c r="BR176" t="s">
        <v>105</v>
      </c>
      <c r="BS176" t="s">
        <v>5197</v>
      </c>
      <c r="BT176" t="str">
        <f>HYPERLINK("https%3A%2F%2Fwww.webofscience.com%2Fwos%2Fwoscc%2Ffull-record%2FWOS:000941300100001","View Full Record in Web of Science")</f>
        <v>View Full Record in Web of Science</v>
      </c>
    </row>
    <row r="177" spans="1:72" x14ac:dyDescent="0.2">
      <c r="A177" t="s">
        <v>72</v>
      </c>
      <c r="B177" t="s">
        <v>6316</v>
      </c>
      <c r="C177" t="s">
        <v>74</v>
      </c>
      <c r="D177" t="s">
        <v>74</v>
      </c>
      <c r="E177" t="s">
        <v>74</v>
      </c>
      <c r="F177" t="s">
        <v>6317</v>
      </c>
      <c r="G177" t="s">
        <v>74</v>
      </c>
      <c r="H177" t="s">
        <v>74</v>
      </c>
      <c r="I177" t="s">
        <v>6318</v>
      </c>
      <c r="J177" t="s">
        <v>2185</v>
      </c>
      <c r="K177" t="s">
        <v>74</v>
      </c>
      <c r="L177" t="s">
        <v>74</v>
      </c>
      <c r="M177" t="s">
        <v>1517</v>
      </c>
      <c r="N177" t="s">
        <v>79</v>
      </c>
      <c r="O177" t="s">
        <v>74</v>
      </c>
      <c r="P177" t="s">
        <v>74</v>
      </c>
      <c r="Q177" t="s">
        <v>74</v>
      </c>
      <c r="R177" t="s">
        <v>74</v>
      </c>
      <c r="S177" t="s">
        <v>74</v>
      </c>
      <c r="T177" t="s">
        <v>6319</v>
      </c>
      <c r="U177" t="s">
        <v>6320</v>
      </c>
      <c r="V177" t="s">
        <v>6321</v>
      </c>
      <c r="W177" s="1" t="s">
        <v>6322</v>
      </c>
      <c r="X177" t="s">
        <v>6323</v>
      </c>
      <c r="Y177" t="s">
        <v>6324</v>
      </c>
      <c r="Z177" t="s">
        <v>6325</v>
      </c>
      <c r="AA177" t="s">
        <v>6326</v>
      </c>
      <c r="AB177" t="s">
        <v>6327</v>
      </c>
      <c r="AC177" t="s">
        <v>74</v>
      </c>
      <c r="AD177" t="s">
        <v>74</v>
      </c>
      <c r="AE177" t="s">
        <v>74</v>
      </c>
      <c r="AF177" t="s">
        <v>6328</v>
      </c>
      <c r="AG177">
        <v>32</v>
      </c>
      <c r="AH177">
        <v>0</v>
      </c>
      <c r="AI177">
        <v>0</v>
      </c>
      <c r="AJ177">
        <v>2</v>
      </c>
      <c r="AK177">
        <v>5</v>
      </c>
      <c r="AL177" t="s">
        <v>2192</v>
      </c>
      <c r="AM177" t="s">
        <v>2193</v>
      </c>
      <c r="AN177" t="s">
        <v>2194</v>
      </c>
      <c r="AO177" t="s">
        <v>2195</v>
      </c>
      <c r="AP177" t="s">
        <v>2196</v>
      </c>
      <c r="AQ177" t="s">
        <v>74</v>
      </c>
      <c r="AR177" t="s">
        <v>2197</v>
      </c>
      <c r="AS177" t="s">
        <v>2198</v>
      </c>
      <c r="AT177" t="s">
        <v>74</v>
      </c>
      <c r="AU177">
        <v>2022</v>
      </c>
      <c r="AV177">
        <v>40</v>
      </c>
      <c r="AW177">
        <v>1</v>
      </c>
      <c r="AX177" t="s">
        <v>74</v>
      </c>
      <c r="AY177" t="s">
        <v>74</v>
      </c>
      <c r="AZ177" t="s">
        <v>74</v>
      </c>
      <c r="BA177" t="s">
        <v>74</v>
      </c>
      <c r="BB177">
        <v>119</v>
      </c>
      <c r="BC177">
        <v>154</v>
      </c>
      <c r="BD177" t="s">
        <v>74</v>
      </c>
      <c r="BE177" t="s">
        <v>6329</v>
      </c>
      <c r="BF177" t="str">
        <f>HYPERLINK("http://dx.doi.org/10.18800/psico.202201.005","http://dx.doi.org/10.18800/psico.202201.005")</f>
        <v>http://dx.doi.org/10.18800/psico.202201.005</v>
      </c>
      <c r="BG177" t="s">
        <v>74</v>
      </c>
      <c r="BH177" t="s">
        <v>74</v>
      </c>
      <c r="BI177">
        <v>36</v>
      </c>
      <c r="BJ177" t="s">
        <v>2200</v>
      </c>
      <c r="BK177" t="s">
        <v>187</v>
      </c>
      <c r="BL177" t="s">
        <v>2201</v>
      </c>
      <c r="BM177" t="s">
        <v>2202</v>
      </c>
      <c r="BN177" t="s">
        <v>74</v>
      </c>
      <c r="BO177" t="s">
        <v>419</v>
      </c>
      <c r="BP177" t="s">
        <v>74</v>
      </c>
      <c r="BQ177" t="s">
        <v>74</v>
      </c>
      <c r="BR177" t="s">
        <v>105</v>
      </c>
      <c r="BS177" t="s">
        <v>6330</v>
      </c>
      <c r="BT177" t="str">
        <f>HYPERLINK("https%3A%2F%2Fwww.webofscience.com%2Fwos%2Fwoscc%2Ffull-record%2FWOS:000731882000006","View Full Record in Web of Science")</f>
        <v>View Full Record in Web of Science</v>
      </c>
    </row>
    <row r="178" spans="1:72" x14ac:dyDescent="0.2">
      <c r="A178" t="s">
        <v>72</v>
      </c>
      <c r="B178" t="s">
        <v>5447</v>
      </c>
      <c r="C178" t="s">
        <v>74</v>
      </c>
      <c r="D178" t="s">
        <v>74</v>
      </c>
      <c r="E178" t="s">
        <v>74</v>
      </c>
      <c r="F178" t="s">
        <v>5448</v>
      </c>
      <c r="G178" t="s">
        <v>74</v>
      </c>
      <c r="H178" t="s">
        <v>74</v>
      </c>
      <c r="I178" t="s">
        <v>5449</v>
      </c>
      <c r="J178" t="s">
        <v>5450</v>
      </c>
      <c r="K178" t="s">
        <v>74</v>
      </c>
      <c r="L178" t="s">
        <v>74</v>
      </c>
      <c r="M178" t="s">
        <v>78</v>
      </c>
      <c r="N178" t="s">
        <v>79</v>
      </c>
      <c r="O178" t="s">
        <v>74</v>
      </c>
      <c r="P178" t="s">
        <v>74</v>
      </c>
      <c r="Q178" t="s">
        <v>74</v>
      </c>
      <c r="R178" t="s">
        <v>74</v>
      </c>
      <c r="S178" t="s">
        <v>74</v>
      </c>
      <c r="T178" t="s">
        <v>5451</v>
      </c>
      <c r="U178" t="s">
        <v>5452</v>
      </c>
      <c r="V178" t="s">
        <v>5453</v>
      </c>
      <c r="W178" s="1" t="s">
        <v>5454</v>
      </c>
      <c r="X178" t="s">
        <v>5455</v>
      </c>
      <c r="Y178" t="s">
        <v>5456</v>
      </c>
      <c r="Z178" t="s">
        <v>5457</v>
      </c>
      <c r="AA178" t="s">
        <v>5458</v>
      </c>
      <c r="AB178" t="s">
        <v>5459</v>
      </c>
      <c r="AC178" t="s">
        <v>5460</v>
      </c>
      <c r="AD178" t="s">
        <v>5461</v>
      </c>
      <c r="AE178" t="s">
        <v>5462</v>
      </c>
      <c r="AF178" t="s">
        <v>5463</v>
      </c>
      <c r="AG178">
        <v>33</v>
      </c>
      <c r="AH178">
        <v>0</v>
      </c>
      <c r="AI178">
        <v>0</v>
      </c>
      <c r="AJ178">
        <v>1</v>
      </c>
      <c r="AK178">
        <v>2</v>
      </c>
      <c r="AL178" t="s">
        <v>263</v>
      </c>
      <c r="AM178" t="s">
        <v>264</v>
      </c>
      <c r="AN178" t="s">
        <v>265</v>
      </c>
      <c r="AO178" t="s">
        <v>5464</v>
      </c>
      <c r="AP178" t="s">
        <v>5465</v>
      </c>
      <c r="AQ178" t="s">
        <v>74</v>
      </c>
      <c r="AR178" t="s">
        <v>5466</v>
      </c>
      <c r="AS178" t="s">
        <v>5467</v>
      </c>
      <c r="AT178" t="s">
        <v>5468</v>
      </c>
      <c r="AU178">
        <v>2022</v>
      </c>
      <c r="AV178">
        <v>433</v>
      </c>
      <c r="AW178" t="s">
        <v>74</v>
      </c>
      <c r="AX178" t="s">
        <v>74</v>
      </c>
      <c r="AY178" t="s">
        <v>74</v>
      </c>
      <c r="AZ178" t="s">
        <v>74</v>
      </c>
      <c r="BA178" t="s">
        <v>74</v>
      </c>
      <c r="BB178" t="s">
        <v>74</v>
      </c>
      <c r="BC178" t="s">
        <v>74</v>
      </c>
      <c r="BD178">
        <v>128019</v>
      </c>
      <c r="BE178" t="s">
        <v>5469</v>
      </c>
      <c r="BF178" t="str">
        <f>HYPERLINK("http://dx.doi.org/10.1016/j.physleta.2022.128019","http://dx.doi.org/10.1016/j.physleta.2022.128019")</f>
        <v>http://dx.doi.org/10.1016/j.physleta.2022.128019</v>
      </c>
      <c r="BG178" t="s">
        <v>74</v>
      </c>
      <c r="BH178" t="s">
        <v>244</v>
      </c>
      <c r="BI178">
        <v>9</v>
      </c>
      <c r="BJ178" t="s">
        <v>904</v>
      </c>
      <c r="BK178" t="s">
        <v>102</v>
      </c>
      <c r="BL178" t="s">
        <v>905</v>
      </c>
      <c r="BM178" t="s">
        <v>5470</v>
      </c>
      <c r="BN178" t="s">
        <v>74</v>
      </c>
      <c r="BO178" t="s">
        <v>74</v>
      </c>
      <c r="BP178" t="s">
        <v>74</v>
      </c>
      <c r="BQ178" t="s">
        <v>74</v>
      </c>
      <c r="BR178" t="s">
        <v>105</v>
      </c>
      <c r="BS178" t="s">
        <v>5471</v>
      </c>
      <c r="BT178" t="str">
        <f>HYPERLINK("https%3A%2F%2Fwww.webofscience.com%2Fwos%2Fwoscc%2Ffull-record%2FWOS:000840124600001","View Full Record in Web of Science")</f>
        <v>View Full Record in Web of Science</v>
      </c>
    </row>
    <row r="179" spans="1:72" x14ac:dyDescent="0.2">
      <c r="A179" t="s">
        <v>72</v>
      </c>
      <c r="B179" t="s">
        <v>6148</v>
      </c>
      <c r="C179" t="s">
        <v>74</v>
      </c>
      <c r="D179" t="s">
        <v>74</v>
      </c>
      <c r="E179" t="s">
        <v>74</v>
      </c>
      <c r="F179" t="s">
        <v>6149</v>
      </c>
      <c r="G179" t="s">
        <v>74</v>
      </c>
      <c r="H179" t="s">
        <v>74</v>
      </c>
      <c r="I179" t="s">
        <v>6150</v>
      </c>
      <c r="J179" t="s">
        <v>4341</v>
      </c>
      <c r="K179" t="s">
        <v>74</v>
      </c>
      <c r="L179" t="s">
        <v>74</v>
      </c>
      <c r="M179" t="s">
        <v>78</v>
      </c>
      <c r="N179" t="s">
        <v>79</v>
      </c>
      <c r="O179" t="s">
        <v>74</v>
      </c>
      <c r="P179" t="s">
        <v>74</v>
      </c>
      <c r="Q179" t="s">
        <v>74</v>
      </c>
      <c r="R179" t="s">
        <v>74</v>
      </c>
      <c r="S179" t="s">
        <v>74</v>
      </c>
      <c r="T179" t="s">
        <v>6151</v>
      </c>
      <c r="U179" t="s">
        <v>6152</v>
      </c>
      <c r="V179" t="s">
        <v>6153</v>
      </c>
      <c r="W179" s="1" t="s">
        <v>6154</v>
      </c>
      <c r="X179" t="s">
        <v>6155</v>
      </c>
      <c r="Y179" t="s">
        <v>6156</v>
      </c>
      <c r="Z179" t="s">
        <v>6157</v>
      </c>
      <c r="AA179" t="s">
        <v>74</v>
      </c>
      <c r="AB179" t="s">
        <v>74</v>
      </c>
      <c r="AC179" t="s">
        <v>74</v>
      </c>
      <c r="AD179" t="s">
        <v>74</v>
      </c>
      <c r="AE179" t="s">
        <v>74</v>
      </c>
      <c r="AF179" t="s">
        <v>6158</v>
      </c>
      <c r="AG179">
        <v>33</v>
      </c>
      <c r="AH179">
        <v>0</v>
      </c>
      <c r="AI179">
        <v>0</v>
      </c>
      <c r="AJ179">
        <v>6</v>
      </c>
      <c r="AK179">
        <v>14</v>
      </c>
      <c r="AL179" t="s">
        <v>1930</v>
      </c>
      <c r="AM179" t="s">
        <v>1931</v>
      </c>
      <c r="AN179" t="s">
        <v>1932</v>
      </c>
      <c r="AO179" t="s">
        <v>4350</v>
      </c>
      <c r="AP179" t="s">
        <v>4351</v>
      </c>
      <c r="AQ179" t="s">
        <v>74</v>
      </c>
      <c r="AR179" t="s">
        <v>4352</v>
      </c>
      <c r="AS179" t="s">
        <v>4353</v>
      </c>
      <c r="AT179" t="s">
        <v>6159</v>
      </c>
      <c r="AU179">
        <v>2022</v>
      </c>
      <c r="AV179">
        <v>31</v>
      </c>
      <c r="AW179">
        <v>59</v>
      </c>
      <c r="AX179" t="s">
        <v>74</v>
      </c>
      <c r="AY179" t="s">
        <v>74</v>
      </c>
      <c r="AZ179" t="s">
        <v>74</v>
      </c>
      <c r="BA179" t="s">
        <v>74</v>
      </c>
      <c r="BB179" t="s">
        <v>74</v>
      </c>
      <c r="BC179" t="s">
        <v>74</v>
      </c>
      <c r="BD179" t="s">
        <v>6160</v>
      </c>
      <c r="BE179" t="s">
        <v>6161</v>
      </c>
      <c r="BF179" t="str">
        <f>HYPERLINK("http://dx.doi.org/10.19053/01211129.v30.n56.2021.14167","http://dx.doi.org/10.19053/01211129.v30.n56.2021.14167")</f>
        <v>http://dx.doi.org/10.19053/01211129.v30.n56.2021.14167</v>
      </c>
      <c r="BG179" t="s">
        <v>74</v>
      </c>
      <c r="BH179" t="s">
        <v>74</v>
      </c>
      <c r="BI179">
        <v>14</v>
      </c>
      <c r="BJ179" t="s">
        <v>323</v>
      </c>
      <c r="BK179" t="s">
        <v>187</v>
      </c>
      <c r="BL179" t="s">
        <v>324</v>
      </c>
      <c r="BM179" t="s">
        <v>6162</v>
      </c>
      <c r="BN179" t="s">
        <v>74</v>
      </c>
      <c r="BO179" t="s">
        <v>74</v>
      </c>
      <c r="BP179" t="s">
        <v>74</v>
      </c>
      <c r="BQ179" t="s">
        <v>74</v>
      </c>
      <c r="BR179" t="s">
        <v>105</v>
      </c>
      <c r="BS179" t="s">
        <v>6163</v>
      </c>
      <c r="BT179" t="str">
        <f>HYPERLINK("https%3A%2F%2Fwww.webofscience.com%2Fwos%2Fwoscc%2Ffull-record%2FWOS:000788137700001","View Full Record in Web of Science")</f>
        <v>View Full Record in Web of Science</v>
      </c>
    </row>
    <row r="180" spans="1:72" x14ac:dyDescent="0.2">
      <c r="A180" t="s">
        <v>72</v>
      </c>
      <c r="B180" t="s">
        <v>6474</v>
      </c>
      <c r="C180" t="s">
        <v>74</v>
      </c>
      <c r="D180" t="s">
        <v>74</v>
      </c>
      <c r="E180" t="s">
        <v>74</v>
      </c>
      <c r="F180" t="s">
        <v>6475</v>
      </c>
      <c r="G180" t="s">
        <v>74</v>
      </c>
      <c r="H180" t="s">
        <v>74</v>
      </c>
      <c r="I180" t="s">
        <v>6476</v>
      </c>
      <c r="J180" t="s">
        <v>6477</v>
      </c>
      <c r="K180" t="s">
        <v>74</v>
      </c>
      <c r="L180" t="s">
        <v>74</v>
      </c>
      <c r="M180" t="s">
        <v>78</v>
      </c>
      <c r="N180" t="s">
        <v>79</v>
      </c>
      <c r="O180" t="s">
        <v>74</v>
      </c>
      <c r="P180" t="s">
        <v>74</v>
      </c>
      <c r="Q180" t="s">
        <v>74</v>
      </c>
      <c r="R180" t="s">
        <v>74</v>
      </c>
      <c r="S180" t="s">
        <v>74</v>
      </c>
      <c r="T180" t="s">
        <v>74</v>
      </c>
      <c r="U180" t="s">
        <v>6478</v>
      </c>
      <c r="V180" t="s">
        <v>6479</v>
      </c>
      <c r="W180" s="1" t="s">
        <v>6480</v>
      </c>
      <c r="X180" t="s">
        <v>6481</v>
      </c>
      <c r="Y180" t="s">
        <v>6482</v>
      </c>
      <c r="Z180" t="s">
        <v>6483</v>
      </c>
      <c r="AA180" t="s">
        <v>6484</v>
      </c>
      <c r="AB180" t="s">
        <v>6485</v>
      </c>
      <c r="AC180" t="s">
        <v>6486</v>
      </c>
      <c r="AD180" t="s">
        <v>6487</v>
      </c>
      <c r="AE180" t="s">
        <v>6488</v>
      </c>
      <c r="AF180" t="s">
        <v>6489</v>
      </c>
      <c r="AG180">
        <v>85</v>
      </c>
      <c r="AH180">
        <v>4</v>
      </c>
      <c r="AI180">
        <v>4</v>
      </c>
      <c r="AJ180">
        <v>11</v>
      </c>
      <c r="AK180">
        <v>25</v>
      </c>
      <c r="AL180" t="s">
        <v>6490</v>
      </c>
      <c r="AM180" t="s">
        <v>1383</v>
      </c>
      <c r="AN180" t="s">
        <v>6491</v>
      </c>
      <c r="AO180" t="s">
        <v>6492</v>
      </c>
      <c r="AP180" t="s">
        <v>74</v>
      </c>
      <c r="AQ180" t="s">
        <v>74</v>
      </c>
      <c r="AR180" t="s">
        <v>6493</v>
      </c>
      <c r="AS180" t="s">
        <v>6494</v>
      </c>
      <c r="AT180" t="s">
        <v>6495</v>
      </c>
      <c r="AU180">
        <v>2022</v>
      </c>
      <c r="AV180">
        <v>8</v>
      </c>
      <c r="AW180">
        <v>26</v>
      </c>
      <c r="AX180" t="s">
        <v>74</v>
      </c>
      <c r="AY180" t="s">
        <v>74</v>
      </c>
      <c r="AZ180" t="s">
        <v>74</v>
      </c>
      <c r="BA180" t="s">
        <v>74</v>
      </c>
      <c r="BB180" t="s">
        <v>74</v>
      </c>
      <c r="BC180" t="s">
        <v>74</v>
      </c>
      <c r="BD180" t="s">
        <v>6496</v>
      </c>
      <c r="BE180" t="s">
        <v>6497</v>
      </c>
      <c r="BF180" t="str">
        <f>HYPERLINK("http://dx.doi.org/10.1126/sciadv.abn1767","http://dx.doi.org/10.1126/sciadv.abn1767")</f>
        <v>http://dx.doi.org/10.1126/sciadv.abn1767</v>
      </c>
      <c r="BG180" t="s">
        <v>74</v>
      </c>
      <c r="BH180" t="s">
        <v>74</v>
      </c>
      <c r="BI180">
        <v>12</v>
      </c>
      <c r="BJ180" t="s">
        <v>627</v>
      </c>
      <c r="BK180" t="s">
        <v>102</v>
      </c>
      <c r="BL180" t="s">
        <v>628</v>
      </c>
      <c r="BM180" t="s">
        <v>6498</v>
      </c>
      <c r="BN180">
        <v>35776785</v>
      </c>
      <c r="BO180" t="s">
        <v>131</v>
      </c>
      <c r="BP180" t="s">
        <v>74</v>
      </c>
      <c r="BQ180" t="s">
        <v>74</v>
      </c>
      <c r="BR180" t="s">
        <v>105</v>
      </c>
      <c r="BS180" t="s">
        <v>6499</v>
      </c>
      <c r="BT180" t="str">
        <f>HYPERLINK("https%3A%2F%2Fwww.webofscience.com%2Fwos%2Fwoscc%2Ffull-record%2FWOS:000823432200006","View Full Record in Web of Science")</f>
        <v>View Full Record in Web of Science</v>
      </c>
    </row>
    <row r="181" spans="1:72" x14ac:dyDescent="0.2">
      <c r="A181" t="s">
        <v>72</v>
      </c>
      <c r="B181" t="s">
        <v>2760</v>
      </c>
      <c r="C181" t="s">
        <v>74</v>
      </c>
      <c r="D181" t="s">
        <v>74</v>
      </c>
      <c r="E181" t="s">
        <v>74</v>
      </c>
      <c r="F181" t="s">
        <v>2761</v>
      </c>
      <c r="G181" t="s">
        <v>74</v>
      </c>
      <c r="H181" t="s">
        <v>74</v>
      </c>
      <c r="I181" t="s">
        <v>2762</v>
      </c>
      <c r="J181" t="s">
        <v>2763</v>
      </c>
      <c r="K181" t="s">
        <v>74</v>
      </c>
      <c r="L181" t="s">
        <v>74</v>
      </c>
      <c r="M181" t="s">
        <v>78</v>
      </c>
      <c r="N181" t="s">
        <v>79</v>
      </c>
      <c r="O181" t="s">
        <v>74</v>
      </c>
      <c r="P181" t="s">
        <v>74</v>
      </c>
      <c r="Q181" t="s">
        <v>74</v>
      </c>
      <c r="R181" t="s">
        <v>74</v>
      </c>
      <c r="S181" t="s">
        <v>74</v>
      </c>
      <c r="T181" t="s">
        <v>2764</v>
      </c>
      <c r="U181" t="s">
        <v>2765</v>
      </c>
      <c r="V181" t="s">
        <v>2766</v>
      </c>
      <c r="W181" s="1" t="s">
        <v>2767</v>
      </c>
      <c r="X181" t="s">
        <v>84</v>
      </c>
      <c r="Y181" t="s">
        <v>2768</v>
      </c>
      <c r="Z181" t="s">
        <v>2769</v>
      </c>
      <c r="AA181" t="s">
        <v>74</v>
      </c>
      <c r="AB181" t="s">
        <v>74</v>
      </c>
      <c r="AC181" t="s">
        <v>74</v>
      </c>
      <c r="AD181" t="s">
        <v>74</v>
      </c>
      <c r="AE181" t="s">
        <v>74</v>
      </c>
      <c r="AF181" t="s">
        <v>2770</v>
      </c>
      <c r="AG181">
        <v>39</v>
      </c>
      <c r="AH181">
        <v>0</v>
      </c>
      <c r="AI181">
        <v>0</v>
      </c>
      <c r="AJ181">
        <v>1</v>
      </c>
      <c r="AK181">
        <v>2</v>
      </c>
      <c r="AL181" t="s">
        <v>2771</v>
      </c>
      <c r="AM181" t="s">
        <v>2772</v>
      </c>
      <c r="AN181" t="s">
        <v>2773</v>
      </c>
      <c r="AO181" t="s">
        <v>2774</v>
      </c>
      <c r="AP181" t="s">
        <v>2775</v>
      </c>
      <c r="AQ181" t="s">
        <v>74</v>
      </c>
      <c r="AR181" t="s">
        <v>2776</v>
      </c>
      <c r="AS181" t="s">
        <v>2777</v>
      </c>
      <c r="AT181" t="s">
        <v>2778</v>
      </c>
      <c r="AU181">
        <v>2022</v>
      </c>
      <c r="AV181">
        <v>13</v>
      </c>
      <c r="AW181">
        <v>1</v>
      </c>
      <c r="AX181" t="s">
        <v>74</v>
      </c>
      <c r="AY181" t="s">
        <v>74</v>
      </c>
      <c r="AZ181" t="s">
        <v>74</v>
      </c>
      <c r="BA181" t="s">
        <v>74</v>
      </c>
      <c r="BB181">
        <v>200</v>
      </c>
      <c r="BC181">
        <v>210</v>
      </c>
      <c r="BD181" t="s">
        <v>74</v>
      </c>
      <c r="BE181" t="s">
        <v>2779</v>
      </c>
      <c r="BF181" t="str">
        <f>HYPERLINK("http://dx.doi.org/10.22319/rmcp.v13i1.5675","http://dx.doi.org/10.22319/rmcp.v13i1.5675")</f>
        <v>http://dx.doi.org/10.22319/rmcp.v13i1.5675</v>
      </c>
      <c r="BG181" t="s">
        <v>74</v>
      </c>
      <c r="BH181" t="s">
        <v>74</v>
      </c>
      <c r="BI181">
        <v>11</v>
      </c>
      <c r="BJ181" t="s">
        <v>2361</v>
      </c>
      <c r="BK181" t="s">
        <v>102</v>
      </c>
      <c r="BL181" t="s">
        <v>160</v>
      </c>
      <c r="BM181" t="s">
        <v>2780</v>
      </c>
      <c r="BN181" t="s">
        <v>74</v>
      </c>
      <c r="BO181" t="s">
        <v>190</v>
      </c>
      <c r="BP181" t="s">
        <v>74</v>
      </c>
      <c r="BQ181" t="s">
        <v>74</v>
      </c>
      <c r="BR181" t="s">
        <v>105</v>
      </c>
      <c r="BS181" t="s">
        <v>2781</v>
      </c>
      <c r="BT181" t="str">
        <f>HYPERLINK("https%3A%2F%2Fwww.webofscience.com%2Fwos%2Fwoscc%2Ffull-record%2FWOS:000819955900014","View Full Record in Web of Science")</f>
        <v>View Full Record in Web of Science</v>
      </c>
    </row>
    <row r="182" spans="1:72" x14ac:dyDescent="0.2">
      <c r="A182" t="s">
        <v>72</v>
      </c>
      <c r="B182" t="s">
        <v>3659</v>
      </c>
      <c r="C182" t="s">
        <v>74</v>
      </c>
      <c r="D182" t="s">
        <v>74</v>
      </c>
      <c r="E182" t="s">
        <v>74</v>
      </c>
      <c r="F182" t="s">
        <v>3660</v>
      </c>
      <c r="G182" t="s">
        <v>74</v>
      </c>
      <c r="H182" t="s">
        <v>74</v>
      </c>
      <c r="I182" t="s">
        <v>3661</v>
      </c>
      <c r="J182" t="s">
        <v>2169</v>
      </c>
      <c r="K182" t="s">
        <v>74</v>
      </c>
      <c r="L182" t="s">
        <v>74</v>
      </c>
      <c r="M182" t="s">
        <v>1517</v>
      </c>
      <c r="N182" t="s">
        <v>79</v>
      </c>
      <c r="O182" t="s">
        <v>74</v>
      </c>
      <c r="P182" t="s">
        <v>74</v>
      </c>
      <c r="Q182" t="s">
        <v>74</v>
      </c>
      <c r="R182" t="s">
        <v>74</v>
      </c>
      <c r="S182" t="s">
        <v>74</v>
      </c>
      <c r="T182" t="s">
        <v>3662</v>
      </c>
      <c r="U182" t="s">
        <v>74</v>
      </c>
      <c r="V182" t="s">
        <v>3663</v>
      </c>
      <c r="W182" s="1" t="s">
        <v>3664</v>
      </c>
      <c r="X182" t="s">
        <v>1824</v>
      </c>
      <c r="Y182" t="s">
        <v>3665</v>
      </c>
      <c r="Z182" t="s">
        <v>3666</v>
      </c>
      <c r="AA182" t="s">
        <v>74</v>
      </c>
      <c r="AB182" t="s">
        <v>74</v>
      </c>
      <c r="AC182" t="s">
        <v>74</v>
      </c>
      <c r="AD182" t="s">
        <v>74</v>
      </c>
      <c r="AE182" t="s">
        <v>74</v>
      </c>
      <c r="AF182" t="s">
        <v>3667</v>
      </c>
      <c r="AG182">
        <v>28</v>
      </c>
      <c r="AH182">
        <v>0</v>
      </c>
      <c r="AI182">
        <v>0</v>
      </c>
      <c r="AJ182">
        <v>0</v>
      </c>
      <c r="AK182">
        <v>2</v>
      </c>
      <c r="AL182" t="s">
        <v>1930</v>
      </c>
      <c r="AM182" t="s">
        <v>1931</v>
      </c>
      <c r="AN182" t="s">
        <v>1932</v>
      </c>
      <c r="AO182" t="s">
        <v>2176</v>
      </c>
      <c r="AP182" t="s">
        <v>2177</v>
      </c>
      <c r="AQ182" t="s">
        <v>74</v>
      </c>
      <c r="AR182" t="s">
        <v>2178</v>
      </c>
      <c r="AS182" t="s">
        <v>2179</v>
      </c>
      <c r="AT182" t="s">
        <v>74</v>
      </c>
      <c r="AU182">
        <v>2022</v>
      </c>
      <c r="AV182">
        <v>27</v>
      </c>
      <c r="AW182">
        <v>1</v>
      </c>
      <c r="AX182" t="s">
        <v>74</v>
      </c>
      <c r="AY182" t="s">
        <v>74</v>
      </c>
      <c r="AZ182" t="s">
        <v>74</v>
      </c>
      <c r="BA182" t="s">
        <v>74</v>
      </c>
      <c r="BB182" t="s">
        <v>74</v>
      </c>
      <c r="BC182" t="s">
        <v>74</v>
      </c>
      <c r="BD182" t="s">
        <v>74</v>
      </c>
      <c r="BE182" t="s">
        <v>3668</v>
      </c>
      <c r="BF182" t="str">
        <f>HYPERLINK("http://dx.doi.org/10.19053/01233769.13087","http://dx.doi.org/10.19053/01233769.13087")</f>
        <v>http://dx.doi.org/10.19053/01233769.13087</v>
      </c>
      <c r="BG182" t="s">
        <v>74</v>
      </c>
      <c r="BH182" t="s">
        <v>74</v>
      </c>
      <c r="BI182">
        <v>27</v>
      </c>
      <c r="BJ182" t="s">
        <v>1488</v>
      </c>
      <c r="BK182" t="s">
        <v>187</v>
      </c>
      <c r="BL182" t="s">
        <v>1488</v>
      </c>
      <c r="BM182" t="s">
        <v>3669</v>
      </c>
      <c r="BN182" t="s">
        <v>74</v>
      </c>
      <c r="BO182" t="s">
        <v>1111</v>
      </c>
      <c r="BP182" t="s">
        <v>74</v>
      </c>
      <c r="BQ182" t="s">
        <v>74</v>
      </c>
      <c r="BR182" t="s">
        <v>105</v>
      </c>
      <c r="BS182" t="s">
        <v>3670</v>
      </c>
      <c r="BT182" t="str">
        <f>HYPERLINK("https%3A%2F%2Fwww.webofscience.com%2Fwos%2Fwoscc%2Ffull-record%2FWOS:000767237000001","View Full Record in Web of Science")</f>
        <v>View Full Record in Web of Science</v>
      </c>
    </row>
    <row r="183" spans="1:72" x14ac:dyDescent="0.2">
      <c r="A183" t="s">
        <v>72</v>
      </c>
      <c r="B183" t="s">
        <v>4244</v>
      </c>
      <c r="C183" t="s">
        <v>74</v>
      </c>
      <c r="D183" t="s">
        <v>74</v>
      </c>
      <c r="E183" t="s">
        <v>74</v>
      </c>
      <c r="F183" t="s">
        <v>4245</v>
      </c>
      <c r="G183" t="s">
        <v>74</v>
      </c>
      <c r="H183" t="s">
        <v>74</v>
      </c>
      <c r="I183" t="s">
        <v>4246</v>
      </c>
      <c r="J183" t="s">
        <v>2169</v>
      </c>
      <c r="K183" t="s">
        <v>74</v>
      </c>
      <c r="L183" t="s">
        <v>74</v>
      </c>
      <c r="M183" t="s">
        <v>78</v>
      </c>
      <c r="N183" t="s">
        <v>79</v>
      </c>
      <c r="O183" t="s">
        <v>74</v>
      </c>
      <c r="P183" t="s">
        <v>74</v>
      </c>
      <c r="Q183" t="s">
        <v>74</v>
      </c>
      <c r="R183" t="s">
        <v>74</v>
      </c>
      <c r="S183" t="s">
        <v>74</v>
      </c>
      <c r="T183" t="s">
        <v>4247</v>
      </c>
      <c r="U183" t="s">
        <v>4248</v>
      </c>
      <c r="V183" t="s">
        <v>4249</v>
      </c>
      <c r="W183" s="1" t="s">
        <v>4250</v>
      </c>
      <c r="X183" t="s">
        <v>4251</v>
      </c>
      <c r="Y183" t="s">
        <v>4252</v>
      </c>
      <c r="Z183" t="s">
        <v>4253</v>
      </c>
      <c r="AA183" t="s">
        <v>74</v>
      </c>
      <c r="AB183" t="s">
        <v>74</v>
      </c>
      <c r="AC183" t="s">
        <v>74</v>
      </c>
      <c r="AD183" t="s">
        <v>74</v>
      </c>
      <c r="AE183" t="s">
        <v>74</v>
      </c>
      <c r="AF183" t="s">
        <v>4254</v>
      </c>
      <c r="AG183">
        <v>39</v>
      </c>
      <c r="AH183">
        <v>0</v>
      </c>
      <c r="AI183">
        <v>0</v>
      </c>
      <c r="AJ183">
        <v>0</v>
      </c>
      <c r="AK183">
        <v>0</v>
      </c>
      <c r="AL183" t="s">
        <v>1930</v>
      </c>
      <c r="AM183" t="s">
        <v>1931</v>
      </c>
      <c r="AN183" t="s">
        <v>1932</v>
      </c>
      <c r="AO183" t="s">
        <v>2176</v>
      </c>
      <c r="AP183" t="s">
        <v>2177</v>
      </c>
      <c r="AQ183" t="s">
        <v>74</v>
      </c>
      <c r="AR183" t="s">
        <v>2178</v>
      </c>
      <c r="AS183" t="s">
        <v>2179</v>
      </c>
      <c r="AT183" t="s">
        <v>74</v>
      </c>
      <c r="AU183">
        <v>2023</v>
      </c>
      <c r="AV183">
        <v>28</v>
      </c>
      <c r="AW183">
        <v>1</v>
      </c>
      <c r="AX183" t="s">
        <v>74</v>
      </c>
      <c r="AY183" t="s">
        <v>74</v>
      </c>
      <c r="AZ183" t="s">
        <v>74</v>
      </c>
      <c r="BA183" t="s">
        <v>74</v>
      </c>
      <c r="BB183">
        <v>21</v>
      </c>
      <c r="BC183">
        <v>21</v>
      </c>
      <c r="BD183" t="s">
        <v>74</v>
      </c>
      <c r="BE183" t="s">
        <v>74</v>
      </c>
      <c r="BF183" t="s">
        <v>74</v>
      </c>
      <c r="BG183" t="s">
        <v>74</v>
      </c>
      <c r="BH183" t="s">
        <v>74</v>
      </c>
      <c r="BI183">
        <v>1</v>
      </c>
      <c r="BJ183" t="s">
        <v>1488</v>
      </c>
      <c r="BK183" t="s">
        <v>187</v>
      </c>
      <c r="BL183" t="s">
        <v>1488</v>
      </c>
      <c r="BM183" t="s">
        <v>2180</v>
      </c>
      <c r="BN183" t="s">
        <v>74</v>
      </c>
      <c r="BO183" t="s">
        <v>74</v>
      </c>
      <c r="BP183" t="s">
        <v>74</v>
      </c>
      <c r="BQ183" t="s">
        <v>74</v>
      </c>
      <c r="BR183" t="s">
        <v>105</v>
      </c>
      <c r="BS183" t="s">
        <v>4255</v>
      </c>
      <c r="BT183" t="str">
        <f>HYPERLINK("https%3A%2F%2Fwww.webofscience.com%2Fwos%2Fwoscc%2Ffull-record%2FWOS:000944453600002","View Full Record in Web of Science")</f>
        <v>View Full Record in Web of Science</v>
      </c>
    </row>
    <row r="184" spans="1:72" x14ac:dyDescent="0.2">
      <c r="A184" t="s">
        <v>72</v>
      </c>
      <c r="B184" t="s">
        <v>6402</v>
      </c>
      <c r="C184" t="s">
        <v>74</v>
      </c>
      <c r="D184" t="s">
        <v>74</v>
      </c>
      <c r="E184" t="s">
        <v>74</v>
      </c>
      <c r="F184" t="s">
        <v>6403</v>
      </c>
      <c r="G184" t="s">
        <v>74</v>
      </c>
      <c r="H184" t="s">
        <v>74</v>
      </c>
      <c r="I184" t="s">
        <v>6404</v>
      </c>
      <c r="J184" t="s">
        <v>1221</v>
      </c>
      <c r="K184" t="s">
        <v>74</v>
      </c>
      <c r="L184" t="s">
        <v>74</v>
      </c>
      <c r="M184" t="s">
        <v>78</v>
      </c>
      <c r="N184" t="s">
        <v>79</v>
      </c>
      <c r="O184" t="s">
        <v>74</v>
      </c>
      <c r="P184" t="s">
        <v>74</v>
      </c>
      <c r="Q184" t="s">
        <v>74</v>
      </c>
      <c r="R184" t="s">
        <v>74</v>
      </c>
      <c r="S184" t="s">
        <v>74</v>
      </c>
      <c r="T184" t="s">
        <v>74</v>
      </c>
      <c r="U184" t="s">
        <v>6405</v>
      </c>
      <c r="V184" t="s">
        <v>6406</v>
      </c>
      <c r="W184" s="1" t="s">
        <v>6407</v>
      </c>
      <c r="X184" t="s">
        <v>6408</v>
      </c>
      <c r="Y184" t="s">
        <v>6409</v>
      </c>
      <c r="Z184" t="s">
        <v>6410</v>
      </c>
      <c r="AA184" t="s">
        <v>6411</v>
      </c>
      <c r="AB184" t="s">
        <v>6412</v>
      </c>
      <c r="AC184" t="s">
        <v>6413</v>
      </c>
      <c r="AD184" t="s">
        <v>6414</v>
      </c>
      <c r="AE184" t="s">
        <v>6415</v>
      </c>
      <c r="AF184" t="s">
        <v>6416</v>
      </c>
      <c r="AG184">
        <v>48</v>
      </c>
      <c r="AH184">
        <v>0</v>
      </c>
      <c r="AI184">
        <v>0</v>
      </c>
      <c r="AJ184">
        <v>7</v>
      </c>
      <c r="AK184">
        <v>7</v>
      </c>
      <c r="AL184" t="s">
        <v>1233</v>
      </c>
      <c r="AM184" t="s">
        <v>1234</v>
      </c>
      <c r="AN184" t="s">
        <v>1235</v>
      </c>
      <c r="AO184" t="s">
        <v>1236</v>
      </c>
      <c r="AP184" t="s">
        <v>74</v>
      </c>
      <c r="AQ184" t="s">
        <v>74</v>
      </c>
      <c r="AR184" t="s">
        <v>1237</v>
      </c>
      <c r="AS184" t="s">
        <v>1238</v>
      </c>
      <c r="AT184" t="s">
        <v>6417</v>
      </c>
      <c r="AU184">
        <v>2022</v>
      </c>
      <c r="AV184">
        <v>12</v>
      </c>
      <c r="AW184">
        <v>1</v>
      </c>
      <c r="AX184" t="s">
        <v>74</v>
      </c>
      <c r="AY184" t="s">
        <v>74</v>
      </c>
      <c r="AZ184" t="s">
        <v>74</v>
      </c>
      <c r="BA184" t="s">
        <v>74</v>
      </c>
      <c r="BB184" t="s">
        <v>74</v>
      </c>
      <c r="BC184" t="s">
        <v>74</v>
      </c>
      <c r="BD184">
        <v>22102</v>
      </c>
      <c r="BE184" t="s">
        <v>6418</v>
      </c>
      <c r="BF184" t="str">
        <f>HYPERLINK("http://dx.doi.org/10.1038/s41598-022-25538-y","http://dx.doi.org/10.1038/s41598-022-25538-y")</f>
        <v>http://dx.doi.org/10.1038/s41598-022-25538-y</v>
      </c>
      <c r="BG184" t="s">
        <v>74</v>
      </c>
      <c r="BH184" t="s">
        <v>74</v>
      </c>
      <c r="BI184">
        <v>12</v>
      </c>
      <c r="BJ184" t="s">
        <v>627</v>
      </c>
      <c r="BK184" t="s">
        <v>102</v>
      </c>
      <c r="BL184" t="s">
        <v>628</v>
      </c>
      <c r="BM184" t="s">
        <v>6419</v>
      </c>
      <c r="BN184">
        <v>36543793</v>
      </c>
      <c r="BO184" t="s">
        <v>131</v>
      </c>
      <c r="BP184" t="s">
        <v>74</v>
      </c>
      <c r="BQ184" t="s">
        <v>74</v>
      </c>
      <c r="BR184" t="s">
        <v>105</v>
      </c>
      <c r="BS184" t="s">
        <v>6420</v>
      </c>
      <c r="BT184" t="str">
        <f>HYPERLINK("https%3A%2F%2Fwww.webofscience.com%2Fwos%2Fwoscc%2Ffull-record%2FWOS:000934072600022","View Full Record in Web of Science")</f>
        <v>View Full Record in Web of Science</v>
      </c>
    </row>
    <row r="185" spans="1:72" x14ac:dyDescent="0.2">
      <c r="A185" t="s">
        <v>72</v>
      </c>
      <c r="B185" t="s">
        <v>6421</v>
      </c>
      <c r="C185" t="s">
        <v>74</v>
      </c>
      <c r="D185" t="s">
        <v>74</v>
      </c>
      <c r="E185" t="s">
        <v>74</v>
      </c>
      <c r="F185" t="s">
        <v>6422</v>
      </c>
      <c r="G185" t="s">
        <v>74</v>
      </c>
      <c r="H185" t="s">
        <v>74</v>
      </c>
      <c r="I185" t="s">
        <v>6423</v>
      </c>
      <c r="J185" t="s">
        <v>6424</v>
      </c>
      <c r="K185" t="s">
        <v>74</v>
      </c>
      <c r="L185" t="s">
        <v>74</v>
      </c>
      <c r="M185" t="s">
        <v>78</v>
      </c>
      <c r="N185" t="s">
        <v>137</v>
      </c>
      <c r="O185" t="s">
        <v>74</v>
      </c>
      <c r="P185" t="s">
        <v>74</v>
      </c>
      <c r="Q185" t="s">
        <v>74</v>
      </c>
      <c r="R185" t="s">
        <v>74</v>
      </c>
      <c r="S185" t="s">
        <v>74</v>
      </c>
      <c r="T185" t="s">
        <v>6425</v>
      </c>
      <c r="U185" t="s">
        <v>6426</v>
      </c>
      <c r="V185" t="s">
        <v>6427</v>
      </c>
      <c r="W185" s="1" t="s">
        <v>6428</v>
      </c>
      <c r="X185" t="s">
        <v>6429</v>
      </c>
      <c r="Y185" t="s">
        <v>6430</v>
      </c>
      <c r="Z185" t="s">
        <v>6410</v>
      </c>
      <c r="AA185" t="s">
        <v>6431</v>
      </c>
      <c r="AB185" t="s">
        <v>6432</v>
      </c>
      <c r="AC185" t="s">
        <v>6433</v>
      </c>
      <c r="AD185" t="s">
        <v>6434</v>
      </c>
      <c r="AE185" t="s">
        <v>6435</v>
      </c>
      <c r="AF185" t="s">
        <v>6436</v>
      </c>
      <c r="AG185">
        <v>47</v>
      </c>
      <c r="AH185">
        <v>5</v>
      </c>
      <c r="AI185">
        <v>5</v>
      </c>
      <c r="AJ185">
        <v>8</v>
      </c>
      <c r="AK185">
        <v>20</v>
      </c>
      <c r="AL185" t="s">
        <v>6437</v>
      </c>
      <c r="AM185" t="s">
        <v>6438</v>
      </c>
      <c r="AN185" t="s">
        <v>6439</v>
      </c>
      <c r="AO185" t="s">
        <v>6440</v>
      </c>
      <c r="AP185" t="s">
        <v>6441</v>
      </c>
      <c r="AQ185" t="s">
        <v>74</v>
      </c>
      <c r="AR185" t="s">
        <v>6442</v>
      </c>
      <c r="AS185" t="s">
        <v>6443</v>
      </c>
      <c r="AT185" t="s">
        <v>6444</v>
      </c>
      <c r="AU185">
        <v>2022</v>
      </c>
      <c r="AV185" t="s">
        <v>74</v>
      </c>
      <c r="AW185" t="s">
        <v>74</v>
      </c>
      <c r="AX185" t="s">
        <v>74</v>
      </c>
      <c r="AY185" t="s">
        <v>74</v>
      </c>
      <c r="AZ185" t="s">
        <v>74</v>
      </c>
      <c r="BA185" t="s">
        <v>74</v>
      </c>
      <c r="BB185" t="s">
        <v>74</v>
      </c>
      <c r="BC185" t="s">
        <v>74</v>
      </c>
      <c r="BD185" t="s">
        <v>74</v>
      </c>
      <c r="BE185" t="s">
        <v>6445</v>
      </c>
      <c r="BF185" t="str">
        <f>HYPERLINK("http://dx.doi.org/10.1177/19485506221101767","http://dx.doi.org/10.1177/19485506221101767")</f>
        <v>http://dx.doi.org/10.1177/19485506221101767</v>
      </c>
      <c r="BG185" t="s">
        <v>74</v>
      </c>
      <c r="BH185" t="s">
        <v>501</v>
      </c>
      <c r="BI185">
        <v>14</v>
      </c>
      <c r="BJ185" t="s">
        <v>6446</v>
      </c>
      <c r="BK185" t="s">
        <v>4335</v>
      </c>
      <c r="BL185" t="s">
        <v>2201</v>
      </c>
      <c r="BM185" t="s">
        <v>6447</v>
      </c>
      <c r="BN185" t="s">
        <v>74</v>
      </c>
      <c r="BO185" t="s">
        <v>6448</v>
      </c>
      <c r="BP185" t="s">
        <v>74</v>
      </c>
      <c r="BQ185" t="s">
        <v>74</v>
      </c>
      <c r="BR185" t="s">
        <v>105</v>
      </c>
      <c r="BS185" t="s">
        <v>6449</v>
      </c>
      <c r="BT185" t="str">
        <f>HYPERLINK("https%3A%2F%2Fwww.webofscience.com%2Fwos%2Fwoscc%2Ffull-record%2FWOS:000824794000001","View Full Record in Web of Science")</f>
        <v>View Full Record in Web of Science</v>
      </c>
    </row>
    <row r="186" spans="1:72" x14ac:dyDescent="0.2">
      <c r="A186" t="s">
        <v>72</v>
      </c>
      <c r="B186" t="s">
        <v>302</v>
      </c>
      <c r="C186" t="s">
        <v>74</v>
      </c>
      <c r="D186" t="s">
        <v>74</v>
      </c>
      <c r="E186" t="s">
        <v>74</v>
      </c>
      <c r="F186" t="s">
        <v>303</v>
      </c>
      <c r="G186" t="s">
        <v>74</v>
      </c>
      <c r="H186" t="s">
        <v>74</v>
      </c>
      <c r="I186" t="s">
        <v>304</v>
      </c>
      <c r="J186" t="s">
        <v>305</v>
      </c>
      <c r="K186" t="s">
        <v>74</v>
      </c>
      <c r="L186" t="s">
        <v>74</v>
      </c>
      <c r="M186" t="s">
        <v>78</v>
      </c>
      <c r="N186" t="s">
        <v>167</v>
      </c>
      <c r="O186" t="s">
        <v>74</v>
      </c>
      <c r="P186" t="s">
        <v>74</v>
      </c>
      <c r="Q186" t="s">
        <v>74</v>
      </c>
      <c r="R186" t="s">
        <v>74</v>
      </c>
      <c r="S186" t="s">
        <v>74</v>
      </c>
      <c r="T186" t="s">
        <v>306</v>
      </c>
      <c r="U186" t="s">
        <v>307</v>
      </c>
      <c r="V186" t="s">
        <v>308</v>
      </c>
      <c r="W186" s="1" t="s">
        <v>309</v>
      </c>
      <c r="X186" t="s">
        <v>142</v>
      </c>
      <c r="Y186" t="s">
        <v>310</v>
      </c>
      <c r="Z186" t="s">
        <v>311</v>
      </c>
      <c r="AA186" t="s">
        <v>74</v>
      </c>
      <c r="AB186" t="s">
        <v>74</v>
      </c>
      <c r="AC186" t="s">
        <v>312</v>
      </c>
      <c r="AD186" t="s">
        <v>312</v>
      </c>
      <c r="AE186" t="s">
        <v>313</v>
      </c>
      <c r="AF186" t="s">
        <v>314</v>
      </c>
      <c r="AG186">
        <v>65</v>
      </c>
      <c r="AH186">
        <v>0</v>
      </c>
      <c r="AI186">
        <v>0</v>
      </c>
      <c r="AJ186">
        <v>3</v>
      </c>
      <c r="AK186">
        <v>3</v>
      </c>
      <c r="AL186" t="s">
        <v>315</v>
      </c>
      <c r="AM186" t="s">
        <v>316</v>
      </c>
      <c r="AN186" t="s">
        <v>317</v>
      </c>
      <c r="AO186" t="s">
        <v>318</v>
      </c>
      <c r="AP186" t="s">
        <v>319</v>
      </c>
      <c r="AQ186" t="s">
        <v>74</v>
      </c>
      <c r="AR186" t="s">
        <v>320</v>
      </c>
      <c r="AS186" t="s">
        <v>321</v>
      </c>
      <c r="AT186" t="s">
        <v>74</v>
      </c>
      <c r="AU186">
        <v>2022</v>
      </c>
      <c r="AV186">
        <v>18</v>
      </c>
      <c r="AW186">
        <v>1</v>
      </c>
      <c r="AX186" t="s">
        <v>74</v>
      </c>
      <c r="AY186" t="s">
        <v>74</v>
      </c>
      <c r="AZ186" t="s">
        <v>74</v>
      </c>
      <c r="BA186" t="s">
        <v>74</v>
      </c>
      <c r="BB186" t="s">
        <v>74</v>
      </c>
      <c r="BC186" t="s">
        <v>74</v>
      </c>
      <c r="BD186" t="s">
        <v>74</v>
      </c>
      <c r="BE186" t="s">
        <v>322</v>
      </c>
      <c r="BF186" t="str">
        <f>HYPERLINK("http://dx.doi.org/10.16925/2357-6014.2022.01.08","http://dx.doi.org/10.16925/2357-6014.2022.01.08")</f>
        <v>http://dx.doi.org/10.16925/2357-6014.2022.01.08</v>
      </c>
      <c r="BG186" t="s">
        <v>74</v>
      </c>
      <c r="BH186" t="s">
        <v>74</v>
      </c>
      <c r="BI186">
        <v>40</v>
      </c>
      <c r="BJ186" t="s">
        <v>323</v>
      </c>
      <c r="BK186" t="s">
        <v>187</v>
      </c>
      <c r="BL186" t="s">
        <v>324</v>
      </c>
      <c r="BM186" t="s">
        <v>325</v>
      </c>
      <c r="BN186" t="s">
        <v>74</v>
      </c>
      <c r="BO186" t="s">
        <v>74</v>
      </c>
      <c r="BP186" t="s">
        <v>74</v>
      </c>
      <c r="BQ186" t="s">
        <v>74</v>
      </c>
      <c r="BR186" t="s">
        <v>105</v>
      </c>
      <c r="BS186" t="s">
        <v>326</v>
      </c>
      <c r="BT186" t="str">
        <f>HYPERLINK("https%3A%2F%2Fwww.webofscience.com%2Fwos%2Fwoscc%2Ffull-record%2FWOS:000835195900005","View Full Record in Web of Science")</f>
        <v>View Full Record in Web of Science</v>
      </c>
    </row>
    <row r="187" spans="1:72" x14ac:dyDescent="0.2">
      <c r="A187" t="s">
        <v>72</v>
      </c>
      <c r="B187" t="s">
        <v>1243</v>
      </c>
      <c r="C187" t="s">
        <v>74</v>
      </c>
      <c r="D187" t="s">
        <v>74</v>
      </c>
      <c r="E187" t="s">
        <v>74</v>
      </c>
      <c r="F187" t="s">
        <v>1244</v>
      </c>
      <c r="G187" t="s">
        <v>74</v>
      </c>
      <c r="H187" t="s">
        <v>74</v>
      </c>
      <c r="I187" t="s">
        <v>1245</v>
      </c>
      <c r="J187" t="s">
        <v>1246</v>
      </c>
      <c r="K187" t="s">
        <v>74</v>
      </c>
      <c r="L187" t="s">
        <v>74</v>
      </c>
      <c r="M187" t="s">
        <v>78</v>
      </c>
      <c r="N187" t="s">
        <v>137</v>
      </c>
      <c r="O187" t="s">
        <v>74</v>
      </c>
      <c r="P187" t="s">
        <v>74</v>
      </c>
      <c r="Q187" t="s">
        <v>74</v>
      </c>
      <c r="R187" t="s">
        <v>74</v>
      </c>
      <c r="S187" t="s">
        <v>74</v>
      </c>
      <c r="T187" t="s">
        <v>1247</v>
      </c>
      <c r="U187" t="s">
        <v>1248</v>
      </c>
      <c r="V187" t="s">
        <v>1249</v>
      </c>
      <c r="W187" s="1" t="s">
        <v>1250</v>
      </c>
      <c r="X187" t="s">
        <v>1251</v>
      </c>
      <c r="Y187" t="s">
        <v>1252</v>
      </c>
      <c r="Z187" t="s">
        <v>1253</v>
      </c>
      <c r="AA187" t="s">
        <v>1254</v>
      </c>
      <c r="AB187" t="s">
        <v>1255</v>
      </c>
      <c r="AC187" t="s">
        <v>1256</v>
      </c>
      <c r="AD187" t="s">
        <v>1257</v>
      </c>
      <c r="AE187" t="s">
        <v>1258</v>
      </c>
      <c r="AF187" t="s">
        <v>1259</v>
      </c>
      <c r="AG187">
        <v>40</v>
      </c>
      <c r="AH187">
        <v>0</v>
      </c>
      <c r="AI187">
        <v>0</v>
      </c>
      <c r="AJ187">
        <v>1</v>
      </c>
      <c r="AK187">
        <v>3</v>
      </c>
      <c r="AL187" t="s">
        <v>1260</v>
      </c>
      <c r="AM187" t="s">
        <v>1261</v>
      </c>
      <c r="AN187" t="s">
        <v>1262</v>
      </c>
      <c r="AO187" t="s">
        <v>1263</v>
      </c>
      <c r="AP187" t="s">
        <v>1264</v>
      </c>
      <c r="AQ187" t="s">
        <v>74</v>
      </c>
      <c r="AR187" t="s">
        <v>1265</v>
      </c>
      <c r="AS187" t="s">
        <v>1266</v>
      </c>
      <c r="AT187" t="s">
        <v>1267</v>
      </c>
      <c r="AU187">
        <v>2022</v>
      </c>
      <c r="AV187" t="s">
        <v>74</v>
      </c>
      <c r="AW187" t="s">
        <v>74</v>
      </c>
      <c r="AX187" t="s">
        <v>74</v>
      </c>
      <c r="AY187" t="s">
        <v>74</v>
      </c>
      <c r="AZ187" t="s">
        <v>74</v>
      </c>
      <c r="BA187" t="s">
        <v>74</v>
      </c>
      <c r="BB187" t="s">
        <v>74</v>
      </c>
      <c r="BC187" t="s">
        <v>74</v>
      </c>
      <c r="BD187" t="s">
        <v>74</v>
      </c>
      <c r="BE187" t="s">
        <v>1268</v>
      </c>
      <c r="BF187" t="str">
        <f>HYPERLINK("http://dx.doi.org/10.1080/01969722.2022.2110687","http://dx.doi.org/10.1080/01969722.2022.2110687")</f>
        <v>http://dx.doi.org/10.1080/01969722.2022.2110687</v>
      </c>
      <c r="BG187" t="s">
        <v>74</v>
      </c>
      <c r="BH187" t="s">
        <v>1269</v>
      </c>
      <c r="BI187">
        <v>15</v>
      </c>
      <c r="BJ187" t="s">
        <v>1270</v>
      </c>
      <c r="BK187" t="s">
        <v>102</v>
      </c>
      <c r="BL187" t="s">
        <v>1271</v>
      </c>
      <c r="BM187" t="s">
        <v>1272</v>
      </c>
      <c r="BN187" t="s">
        <v>74</v>
      </c>
      <c r="BO187" t="s">
        <v>74</v>
      </c>
      <c r="BP187" t="s">
        <v>74</v>
      </c>
      <c r="BQ187" t="s">
        <v>74</v>
      </c>
      <c r="BR187" t="s">
        <v>105</v>
      </c>
      <c r="BS187" t="s">
        <v>1273</v>
      </c>
      <c r="BT187" t="str">
        <f>HYPERLINK("https%3A%2F%2Fwww.webofscience.com%2Fwos%2Fwoscc%2Ffull-record%2FWOS:000840365000001","View Full Record in Web of Science")</f>
        <v>View Full Record in Web of Science</v>
      </c>
    </row>
    <row r="188" spans="1:72" x14ac:dyDescent="0.2">
      <c r="A188" t="s">
        <v>72</v>
      </c>
      <c r="B188" t="s">
        <v>4949</v>
      </c>
      <c r="C188" t="s">
        <v>74</v>
      </c>
      <c r="D188" t="s">
        <v>74</v>
      </c>
      <c r="E188" t="s">
        <v>74</v>
      </c>
      <c r="F188" t="s">
        <v>4950</v>
      </c>
      <c r="G188" t="s">
        <v>74</v>
      </c>
      <c r="H188" t="s">
        <v>74</v>
      </c>
      <c r="I188" t="s">
        <v>4951</v>
      </c>
      <c r="J188" t="s">
        <v>4952</v>
      </c>
      <c r="K188" t="s">
        <v>74</v>
      </c>
      <c r="L188" t="s">
        <v>74</v>
      </c>
      <c r="M188" t="s">
        <v>1517</v>
      </c>
      <c r="N188" t="s">
        <v>79</v>
      </c>
      <c r="O188" t="s">
        <v>74</v>
      </c>
      <c r="P188" t="s">
        <v>74</v>
      </c>
      <c r="Q188" t="s">
        <v>74</v>
      </c>
      <c r="R188" t="s">
        <v>74</v>
      </c>
      <c r="S188" t="s">
        <v>74</v>
      </c>
      <c r="T188" t="s">
        <v>4953</v>
      </c>
      <c r="U188" t="s">
        <v>4954</v>
      </c>
      <c r="V188" t="s">
        <v>4955</v>
      </c>
      <c r="W188" s="1" t="s">
        <v>4956</v>
      </c>
      <c r="X188" t="s">
        <v>4957</v>
      </c>
      <c r="Y188" t="s">
        <v>4958</v>
      </c>
      <c r="Z188" t="s">
        <v>4959</v>
      </c>
      <c r="AA188" t="s">
        <v>74</v>
      </c>
      <c r="AB188" t="s">
        <v>74</v>
      </c>
      <c r="AC188" t="s">
        <v>74</v>
      </c>
      <c r="AD188" t="s">
        <v>74</v>
      </c>
      <c r="AE188" t="s">
        <v>74</v>
      </c>
      <c r="AF188" t="s">
        <v>4960</v>
      </c>
      <c r="AG188">
        <v>35</v>
      </c>
      <c r="AH188">
        <v>1</v>
      </c>
      <c r="AI188">
        <v>1</v>
      </c>
      <c r="AJ188">
        <v>2</v>
      </c>
      <c r="AK188">
        <v>8</v>
      </c>
      <c r="AL188" t="s">
        <v>4961</v>
      </c>
      <c r="AM188" t="s">
        <v>316</v>
      </c>
      <c r="AN188" t="s">
        <v>4962</v>
      </c>
      <c r="AO188" t="s">
        <v>4963</v>
      </c>
      <c r="AP188" t="s">
        <v>4964</v>
      </c>
      <c r="AQ188" t="s">
        <v>74</v>
      </c>
      <c r="AR188" t="s">
        <v>4965</v>
      </c>
      <c r="AS188" t="s">
        <v>4966</v>
      </c>
      <c r="AT188" t="s">
        <v>1527</v>
      </c>
      <c r="AU188">
        <v>2022</v>
      </c>
      <c r="AV188">
        <v>14</v>
      </c>
      <c r="AW188">
        <v>1</v>
      </c>
      <c r="AX188" t="s">
        <v>74</v>
      </c>
      <c r="AY188" t="s">
        <v>74</v>
      </c>
      <c r="AZ188" t="s">
        <v>74</v>
      </c>
      <c r="BA188" t="s">
        <v>74</v>
      </c>
      <c r="BB188">
        <v>99</v>
      </c>
      <c r="BC188">
        <v>130</v>
      </c>
      <c r="BD188" t="s">
        <v>74</v>
      </c>
      <c r="BE188" t="s">
        <v>4967</v>
      </c>
      <c r="BF188" t="str">
        <f>HYPERLINK("http://dx.doi.org/10.14718/revfinanzpolitecon.v14.n1.2022.5","http://dx.doi.org/10.14718/revfinanzpolitecon.v14.n1.2022.5")</f>
        <v>http://dx.doi.org/10.14718/revfinanzpolitecon.v14.n1.2022.5</v>
      </c>
      <c r="BG188" t="s">
        <v>74</v>
      </c>
      <c r="BH188" t="s">
        <v>74</v>
      </c>
      <c r="BI188">
        <v>32</v>
      </c>
      <c r="BJ188" t="s">
        <v>2240</v>
      </c>
      <c r="BK188" t="s">
        <v>187</v>
      </c>
      <c r="BL188" t="s">
        <v>935</v>
      </c>
      <c r="BM188" t="s">
        <v>4968</v>
      </c>
      <c r="BN188" t="s">
        <v>74</v>
      </c>
      <c r="BO188" t="s">
        <v>4969</v>
      </c>
      <c r="BP188" t="s">
        <v>74</v>
      </c>
      <c r="BQ188" t="s">
        <v>74</v>
      </c>
      <c r="BR188" t="s">
        <v>105</v>
      </c>
      <c r="BS188" t="s">
        <v>4970</v>
      </c>
      <c r="BT188" t="str">
        <f>HYPERLINK("https%3A%2F%2Fwww.webofscience.com%2Fwos%2Fwoscc%2Ffull-record%2FWOS:000838237600005","View Full Record in Web of Science")</f>
        <v>View Full Record in Web of Science</v>
      </c>
    </row>
    <row r="189" spans="1:72" x14ac:dyDescent="0.2">
      <c r="A189" t="s">
        <v>72</v>
      </c>
      <c r="B189" t="s">
        <v>4541</v>
      </c>
      <c r="C189" t="s">
        <v>74</v>
      </c>
      <c r="D189" t="s">
        <v>74</v>
      </c>
      <c r="E189" t="s">
        <v>74</v>
      </c>
      <c r="F189" t="s">
        <v>4542</v>
      </c>
      <c r="G189" t="s">
        <v>74</v>
      </c>
      <c r="H189" t="s">
        <v>74</v>
      </c>
      <c r="I189" t="s">
        <v>4543</v>
      </c>
      <c r="J189" t="s">
        <v>4544</v>
      </c>
      <c r="K189" t="s">
        <v>74</v>
      </c>
      <c r="L189" t="s">
        <v>74</v>
      </c>
      <c r="M189" t="s">
        <v>1517</v>
      </c>
      <c r="N189" t="s">
        <v>79</v>
      </c>
      <c r="O189" t="s">
        <v>74</v>
      </c>
      <c r="P189" t="s">
        <v>74</v>
      </c>
      <c r="Q189" t="s">
        <v>74</v>
      </c>
      <c r="R189" t="s">
        <v>74</v>
      </c>
      <c r="S189" t="s">
        <v>74</v>
      </c>
      <c r="T189" t="s">
        <v>74</v>
      </c>
      <c r="U189" t="s">
        <v>74</v>
      </c>
      <c r="V189" t="s">
        <v>4545</v>
      </c>
      <c r="W189" s="1" t="s">
        <v>4546</v>
      </c>
      <c r="X189" t="s">
        <v>4547</v>
      </c>
      <c r="Y189" t="s">
        <v>4548</v>
      </c>
      <c r="Z189" t="s">
        <v>4549</v>
      </c>
      <c r="AA189" t="s">
        <v>74</v>
      </c>
      <c r="AB189" t="s">
        <v>74</v>
      </c>
      <c r="AC189" t="s">
        <v>74</v>
      </c>
      <c r="AD189" t="s">
        <v>74</v>
      </c>
      <c r="AE189" t="s">
        <v>74</v>
      </c>
      <c r="AF189" t="s">
        <v>4550</v>
      </c>
      <c r="AG189">
        <v>25</v>
      </c>
      <c r="AH189">
        <v>0</v>
      </c>
      <c r="AI189">
        <v>0</v>
      </c>
      <c r="AJ189">
        <v>0</v>
      </c>
      <c r="AK189">
        <v>0</v>
      </c>
      <c r="AL189" t="s">
        <v>4544</v>
      </c>
      <c r="AM189" t="s">
        <v>4551</v>
      </c>
      <c r="AN189" t="s">
        <v>4552</v>
      </c>
      <c r="AO189" t="s">
        <v>4553</v>
      </c>
      <c r="AP189" t="s">
        <v>74</v>
      </c>
      <c r="AQ189" t="s">
        <v>74</v>
      </c>
      <c r="AR189" t="s">
        <v>4544</v>
      </c>
      <c r="AS189" t="s">
        <v>4554</v>
      </c>
      <c r="AT189" t="s">
        <v>268</v>
      </c>
      <c r="AU189">
        <v>2023</v>
      </c>
      <c r="AV189">
        <v>48</v>
      </c>
      <c r="AW189">
        <v>4</v>
      </c>
      <c r="AX189" t="s">
        <v>74</v>
      </c>
      <c r="AY189" t="s">
        <v>74</v>
      </c>
      <c r="AZ189" t="s">
        <v>74</v>
      </c>
      <c r="BA189" t="s">
        <v>74</v>
      </c>
      <c r="BB189">
        <v>197</v>
      </c>
      <c r="BC189">
        <v>203</v>
      </c>
      <c r="BD189" t="s">
        <v>74</v>
      </c>
      <c r="BE189" t="s">
        <v>74</v>
      </c>
      <c r="BF189" t="s">
        <v>74</v>
      </c>
      <c r="BG189" t="s">
        <v>74</v>
      </c>
      <c r="BH189" t="s">
        <v>74</v>
      </c>
      <c r="BI189">
        <v>7</v>
      </c>
      <c r="BJ189" t="s">
        <v>2090</v>
      </c>
      <c r="BK189" t="s">
        <v>102</v>
      </c>
      <c r="BL189" t="s">
        <v>1033</v>
      </c>
      <c r="BM189" t="s">
        <v>4555</v>
      </c>
      <c r="BN189" t="s">
        <v>74</v>
      </c>
      <c r="BO189" t="s">
        <v>74</v>
      </c>
      <c r="BP189" t="s">
        <v>74</v>
      </c>
      <c r="BQ189" t="s">
        <v>74</v>
      </c>
      <c r="BR189" t="s">
        <v>105</v>
      </c>
      <c r="BS189" t="s">
        <v>4556</v>
      </c>
      <c r="BT189" t="str">
        <f>HYPERLINK("https%3A%2F%2Fwww.webofscience.com%2Fwos%2Fwoscc%2Ffull-record%2FWOS:000984228400004","View Full Record in Web of Science")</f>
        <v>View Full Record in Web of Science</v>
      </c>
    </row>
    <row r="190" spans="1:72" x14ac:dyDescent="0.2">
      <c r="A190" t="s">
        <v>72</v>
      </c>
      <c r="B190" t="s">
        <v>5686</v>
      </c>
      <c r="C190" t="s">
        <v>74</v>
      </c>
      <c r="D190" t="s">
        <v>74</v>
      </c>
      <c r="E190" t="s">
        <v>74</v>
      </c>
      <c r="F190" t="s">
        <v>5687</v>
      </c>
      <c r="G190" t="s">
        <v>74</v>
      </c>
      <c r="H190" t="s">
        <v>74</v>
      </c>
      <c r="I190" t="s">
        <v>5688</v>
      </c>
      <c r="J190" t="s">
        <v>5689</v>
      </c>
      <c r="K190" t="s">
        <v>74</v>
      </c>
      <c r="L190" t="s">
        <v>74</v>
      </c>
      <c r="M190" t="s">
        <v>1517</v>
      </c>
      <c r="N190" t="s">
        <v>79</v>
      </c>
      <c r="O190" t="s">
        <v>74</v>
      </c>
      <c r="P190" t="s">
        <v>74</v>
      </c>
      <c r="Q190" t="s">
        <v>74</v>
      </c>
      <c r="R190" t="s">
        <v>74</v>
      </c>
      <c r="S190" t="s">
        <v>74</v>
      </c>
      <c r="T190" t="s">
        <v>5690</v>
      </c>
      <c r="U190" t="s">
        <v>5691</v>
      </c>
      <c r="V190" t="s">
        <v>5692</v>
      </c>
      <c r="W190" s="1" t="s">
        <v>5693</v>
      </c>
      <c r="X190" t="s">
        <v>5694</v>
      </c>
      <c r="Y190" t="s">
        <v>5695</v>
      </c>
      <c r="Z190" t="s">
        <v>5696</v>
      </c>
      <c r="AA190" t="s">
        <v>5697</v>
      </c>
      <c r="AB190" t="s">
        <v>5698</v>
      </c>
      <c r="AC190" t="s">
        <v>74</v>
      </c>
      <c r="AD190" t="s">
        <v>74</v>
      </c>
      <c r="AE190" t="s">
        <v>74</v>
      </c>
      <c r="AF190" t="s">
        <v>5699</v>
      </c>
      <c r="AG190">
        <v>111</v>
      </c>
      <c r="AH190">
        <v>0</v>
      </c>
      <c r="AI190">
        <v>1</v>
      </c>
      <c r="AJ190">
        <v>2</v>
      </c>
      <c r="AK190">
        <v>5</v>
      </c>
      <c r="AL190" t="s">
        <v>2386</v>
      </c>
      <c r="AM190" t="s">
        <v>2387</v>
      </c>
      <c r="AN190" t="s">
        <v>2388</v>
      </c>
      <c r="AO190" t="s">
        <v>5700</v>
      </c>
      <c r="AP190" t="s">
        <v>5701</v>
      </c>
      <c r="AQ190" t="s">
        <v>74</v>
      </c>
      <c r="AR190" t="s">
        <v>5702</v>
      </c>
      <c r="AS190" t="s">
        <v>5703</v>
      </c>
      <c r="AT190" t="s">
        <v>1527</v>
      </c>
      <c r="AU190">
        <v>2022</v>
      </c>
      <c r="AV190">
        <v>25</v>
      </c>
      <c r="AW190">
        <v>1</v>
      </c>
      <c r="AX190" t="s">
        <v>74</v>
      </c>
      <c r="AY190" t="s">
        <v>74</v>
      </c>
      <c r="AZ190" t="s">
        <v>74</v>
      </c>
      <c r="BA190" t="s">
        <v>74</v>
      </c>
      <c r="BB190">
        <v>151</v>
      </c>
      <c r="BC190">
        <v>182</v>
      </c>
      <c r="BD190" t="s">
        <v>74</v>
      </c>
      <c r="BE190" t="s">
        <v>5704</v>
      </c>
      <c r="BF190" t="str">
        <f>HYPERLINK("http://dx.doi.org/10.14718/ACP.2022.25.1.11","http://dx.doi.org/10.14718/ACP.2022.25.1.11")</f>
        <v>http://dx.doi.org/10.14718/ACP.2022.25.1.11</v>
      </c>
      <c r="BG190" t="s">
        <v>74</v>
      </c>
      <c r="BH190" t="s">
        <v>74</v>
      </c>
      <c r="BI190">
        <v>32</v>
      </c>
      <c r="BJ190" t="s">
        <v>5705</v>
      </c>
      <c r="BK190" t="s">
        <v>187</v>
      </c>
      <c r="BL190" t="s">
        <v>2201</v>
      </c>
      <c r="BM190" t="s">
        <v>5706</v>
      </c>
      <c r="BN190" t="s">
        <v>74</v>
      </c>
      <c r="BO190" t="s">
        <v>419</v>
      </c>
      <c r="BP190" t="s">
        <v>74</v>
      </c>
      <c r="BQ190" t="s">
        <v>74</v>
      </c>
      <c r="BR190" t="s">
        <v>105</v>
      </c>
      <c r="BS190" t="s">
        <v>5707</v>
      </c>
      <c r="BT190" t="str">
        <f>HYPERLINK("https%3A%2F%2Fwww.webofscience.com%2Fwos%2Fwoscc%2Ffull-record%2FWOS:000802183200010","View Full Record in Web of Science")</f>
        <v>View Full Record in Web of Science</v>
      </c>
    </row>
    <row r="191" spans="1:72" x14ac:dyDescent="0.2">
      <c r="A191" t="s">
        <v>72</v>
      </c>
      <c r="B191" t="s">
        <v>3157</v>
      </c>
      <c r="C191" t="s">
        <v>74</v>
      </c>
      <c r="D191" t="s">
        <v>74</v>
      </c>
      <c r="E191" t="s">
        <v>74</v>
      </c>
      <c r="F191" t="s">
        <v>3158</v>
      </c>
      <c r="G191" t="s">
        <v>74</v>
      </c>
      <c r="H191" t="s">
        <v>74</v>
      </c>
      <c r="I191" t="s">
        <v>3159</v>
      </c>
      <c r="J191" t="s">
        <v>2228</v>
      </c>
      <c r="K191" t="s">
        <v>74</v>
      </c>
      <c r="L191" t="s">
        <v>74</v>
      </c>
      <c r="M191" t="s">
        <v>78</v>
      </c>
      <c r="N191" t="s">
        <v>79</v>
      </c>
      <c r="O191" t="s">
        <v>74</v>
      </c>
      <c r="P191" t="s">
        <v>74</v>
      </c>
      <c r="Q191" t="s">
        <v>74</v>
      </c>
      <c r="R191" t="s">
        <v>74</v>
      </c>
      <c r="S191" t="s">
        <v>74</v>
      </c>
      <c r="T191" t="s">
        <v>3160</v>
      </c>
      <c r="U191" t="s">
        <v>74</v>
      </c>
      <c r="V191" t="s">
        <v>3161</v>
      </c>
      <c r="W191" s="1" t="s">
        <v>3162</v>
      </c>
      <c r="X191" t="s">
        <v>701</v>
      </c>
      <c r="Y191" t="s">
        <v>3163</v>
      </c>
      <c r="Z191" t="s">
        <v>3164</v>
      </c>
      <c r="AA191" t="s">
        <v>74</v>
      </c>
      <c r="AB191" t="s">
        <v>74</v>
      </c>
      <c r="AC191" t="s">
        <v>74</v>
      </c>
      <c r="AD191" t="s">
        <v>74</v>
      </c>
      <c r="AE191" t="s">
        <v>74</v>
      </c>
      <c r="AF191" t="s">
        <v>3165</v>
      </c>
      <c r="AG191">
        <v>52</v>
      </c>
      <c r="AH191">
        <v>0</v>
      </c>
      <c r="AI191">
        <v>0</v>
      </c>
      <c r="AJ191">
        <v>0</v>
      </c>
      <c r="AK191">
        <v>0</v>
      </c>
      <c r="AL191" t="s">
        <v>1930</v>
      </c>
      <c r="AM191" t="s">
        <v>1931</v>
      </c>
      <c r="AN191" t="s">
        <v>1932</v>
      </c>
      <c r="AO191" t="s">
        <v>2235</v>
      </c>
      <c r="AP191" t="s">
        <v>2236</v>
      </c>
      <c r="AQ191" t="s">
        <v>74</v>
      </c>
      <c r="AR191" t="s">
        <v>2237</v>
      </c>
      <c r="AS191" t="s">
        <v>2238</v>
      </c>
      <c r="AT191" t="s">
        <v>1527</v>
      </c>
      <c r="AU191">
        <v>2023</v>
      </c>
      <c r="AV191">
        <v>42</v>
      </c>
      <c r="AW191">
        <v>75</v>
      </c>
      <c r="AX191" t="s">
        <v>74</v>
      </c>
      <c r="AY191" t="s">
        <v>74</v>
      </c>
      <c r="AZ191" t="s">
        <v>74</v>
      </c>
      <c r="BA191" t="s">
        <v>74</v>
      </c>
      <c r="BB191">
        <v>131</v>
      </c>
      <c r="BC191">
        <v>161</v>
      </c>
      <c r="BD191" t="s">
        <v>74</v>
      </c>
      <c r="BE191" t="s">
        <v>74</v>
      </c>
      <c r="BF191" t="s">
        <v>74</v>
      </c>
      <c r="BG191" t="s">
        <v>74</v>
      </c>
      <c r="BH191" t="s">
        <v>74</v>
      </c>
      <c r="BI191">
        <v>31</v>
      </c>
      <c r="BJ191" t="s">
        <v>2240</v>
      </c>
      <c r="BK191" t="s">
        <v>187</v>
      </c>
      <c r="BL191" t="s">
        <v>935</v>
      </c>
      <c r="BM191" t="s">
        <v>3166</v>
      </c>
      <c r="BN191" t="s">
        <v>74</v>
      </c>
      <c r="BO191" t="s">
        <v>74</v>
      </c>
      <c r="BP191" t="s">
        <v>74</v>
      </c>
      <c r="BQ191" t="s">
        <v>74</v>
      </c>
      <c r="BR191" t="s">
        <v>105</v>
      </c>
      <c r="BS191" t="s">
        <v>3167</v>
      </c>
      <c r="BT191" t="str">
        <f>HYPERLINK("https%3A%2F%2Fwww.webofscience.com%2Fwos%2Fwoscc%2Ffull-record%2FWOS:000960204500006","View Full Record in Web of Science")</f>
        <v>View Full Record in Web of Science</v>
      </c>
    </row>
    <row r="192" spans="1:72" x14ac:dyDescent="0.2">
      <c r="A192" t="s">
        <v>72</v>
      </c>
      <c r="B192" t="s">
        <v>2478</v>
      </c>
      <c r="C192" t="s">
        <v>74</v>
      </c>
      <c r="D192" t="s">
        <v>74</v>
      </c>
      <c r="E192" t="s">
        <v>74</v>
      </c>
      <c r="F192" t="s">
        <v>2479</v>
      </c>
      <c r="G192" t="s">
        <v>74</v>
      </c>
      <c r="H192" t="s">
        <v>74</v>
      </c>
      <c r="I192" t="s">
        <v>2480</v>
      </c>
      <c r="J192" t="s">
        <v>2246</v>
      </c>
      <c r="K192" t="s">
        <v>74</v>
      </c>
      <c r="L192" t="s">
        <v>74</v>
      </c>
      <c r="M192" t="s">
        <v>78</v>
      </c>
      <c r="N192" t="s">
        <v>79</v>
      </c>
      <c r="O192" t="s">
        <v>74</v>
      </c>
      <c r="P192" t="s">
        <v>74</v>
      </c>
      <c r="Q192" t="s">
        <v>74</v>
      </c>
      <c r="R192" t="s">
        <v>74</v>
      </c>
      <c r="S192" t="s">
        <v>74</v>
      </c>
      <c r="T192" t="s">
        <v>2481</v>
      </c>
      <c r="U192" t="s">
        <v>2482</v>
      </c>
      <c r="V192" t="s">
        <v>2483</v>
      </c>
      <c r="W192" s="1" t="s">
        <v>2484</v>
      </c>
      <c r="X192" t="s">
        <v>142</v>
      </c>
      <c r="Y192" t="s">
        <v>2485</v>
      </c>
      <c r="Z192" t="s">
        <v>2486</v>
      </c>
      <c r="AA192" t="s">
        <v>74</v>
      </c>
      <c r="AB192" t="s">
        <v>74</v>
      </c>
      <c r="AC192" t="s">
        <v>74</v>
      </c>
      <c r="AD192" t="s">
        <v>74</v>
      </c>
      <c r="AE192" t="s">
        <v>74</v>
      </c>
      <c r="AF192" t="s">
        <v>2487</v>
      </c>
      <c r="AG192">
        <v>50</v>
      </c>
      <c r="AH192">
        <v>1</v>
      </c>
      <c r="AI192">
        <v>1</v>
      </c>
      <c r="AJ192">
        <v>2</v>
      </c>
      <c r="AK192">
        <v>2</v>
      </c>
      <c r="AL192" t="s">
        <v>2253</v>
      </c>
      <c r="AM192" t="s">
        <v>316</v>
      </c>
      <c r="AN192" t="s">
        <v>2254</v>
      </c>
      <c r="AO192" t="s">
        <v>2255</v>
      </c>
      <c r="AP192" t="s">
        <v>2256</v>
      </c>
      <c r="AQ192" t="s">
        <v>74</v>
      </c>
      <c r="AR192" t="s">
        <v>2257</v>
      </c>
      <c r="AS192" t="s">
        <v>2258</v>
      </c>
      <c r="AT192" t="s">
        <v>931</v>
      </c>
      <c r="AU192">
        <v>2022</v>
      </c>
      <c r="AV192">
        <v>27</v>
      </c>
      <c r="AW192">
        <v>2</v>
      </c>
      <c r="AX192" t="s">
        <v>74</v>
      </c>
      <c r="AY192" t="s">
        <v>74</v>
      </c>
      <c r="AZ192" t="s">
        <v>74</v>
      </c>
      <c r="BA192" t="s">
        <v>74</v>
      </c>
      <c r="BB192">
        <v>164</v>
      </c>
      <c r="BC192">
        <v>176</v>
      </c>
      <c r="BD192" t="s">
        <v>74</v>
      </c>
      <c r="BE192" t="s">
        <v>2488</v>
      </c>
      <c r="BF192" t="str">
        <f>HYPERLINK("http://dx.doi.org/10.15446/abc.v27n2.89084","http://dx.doi.org/10.15446/abc.v27n2.89084")</f>
        <v>http://dx.doi.org/10.15446/abc.v27n2.89084</v>
      </c>
      <c r="BG192" t="s">
        <v>74</v>
      </c>
      <c r="BH192" t="s">
        <v>74</v>
      </c>
      <c r="BI192">
        <v>13</v>
      </c>
      <c r="BJ192" t="s">
        <v>2260</v>
      </c>
      <c r="BK192" t="s">
        <v>102</v>
      </c>
      <c r="BL192" t="s">
        <v>2260</v>
      </c>
      <c r="BM192" t="s">
        <v>2261</v>
      </c>
      <c r="BN192" t="s">
        <v>74</v>
      </c>
      <c r="BO192" t="s">
        <v>190</v>
      </c>
      <c r="BP192" t="s">
        <v>74</v>
      </c>
      <c r="BQ192" t="s">
        <v>74</v>
      </c>
      <c r="BR192" t="s">
        <v>105</v>
      </c>
      <c r="BS192" t="s">
        <v>2489</v>
      </c>
      <c r="BT192" t="str">
        <f>HYPERLINK("https%3A%2F%2Fwww.webofscience.com%2Fwos%2Fwoscc%2Ffull-record%2FWOS:000841922300002","View Full Record in Web of Science")</f>
        <v>View Full Record in Web of Science</v>
      </c>
    </row>
    <row r="193" spans="1:72" x14ac:dyDescent="0.2">
      <c r="A193" t="s">
        <v>72</v>
      </c>
      <c r="B193" t="s">
        <v>2438</v>
      </c>
      <c r="C193" t="s">
        <v>74</v>
      </c>
      <c r="D193" t="s">
        <v>74</v>
      </c>
      <c r="E193" t="s">
        <v>74</v>
      </c>
      <c r="F193" t="s">
        <v>2439</v>
      </c>
      <c r="G193" t="s">
        <v>74</v>
      </c>
      <c r="H193" t="s">
        <v>74</v>
      </c>
      <c r="I193" t="s">
        <v>2440</v>
      </c>
      <c r="J193" t="s">
        <v>2441</v>
      </c>
      <c r="K193" t="s">
        <v>74</v>
      </c>
      <c r="L193" t="s">
        <v>74</v>
      </c>
      <c r="M193" t="s">
        <v>78</v>
      </c>
      <c r="N193" t="s">
        <v>79</v>
      </c>
      <c r="O193" t="s">
        <v>74</v>
      </c>
      <c r="P193" t="s">
        <v>74</v>
      </c>
      <c r="Q193" t="s">
        <v>74</v>
      </c>
      <c r="R193" t="s">
        <v>74</v>
      </c>
      <c r="S193" t="s">
        <v>74</v>
      </c>
      <c r="T193" t="s">
        <v>2442</v>
      </c>
      <c r="U193" t="s">
        <v>74</v>
      </c>
      <c r="V193" t="s">
        <v>2443</v>
      </c>
      <c r="W193" s="1" t="s">
        <v>2444</v>
      </c>
      <c r="X193" t="s">
        <v>84</v>
      </c>
      <c r="Y193" t="s">
        <v>2445</v>
      </c>
      <c r="Z193" t="s">
        <v>2446</v>
      </c>
      <c r="AA193" t="s">
        <v>74</v>
      </c>
      <c r="AB193" t="s">
        <v>74</v>
      </c>
      <c r="AC193" t="s">
        <v>74</v>
      </c>
      <c r="AD193" t="s">
        <v>74</v>
      </c>
      <c r="AE193" t="s">
        <v>74</v>
      </c>
      <c r="AF193" t="s">
        <v>2447</v>
      </c>
      <c r="AG193">
        <v>18</v>
      </c>
      <c r="AH193">
        <v>0</v>
      </c>
      <c r="AI193">
        <v>0</v>
      </c>
      <c r="AJ193">
        <v>1</v>
      </c>
      <c r="AK193">
        <v>2</v>
      </c>
      <c r="AL193" t="s">
        <v>263</v>
      </c>
      <c r="AM193" t="s">
        <v>264</v>
      </c>
      <c r="AN193" t="s">
        <v>265</v>
      </c>
      <c r="AO193" t="s">
        <v>2448</v>
      </c>
      <c r="AP193" t="s">
        <v>2449</v>
      </c>
      <c r="AQ193" t="s">
        <v>74</v>
      </c>
      <c r="AR193" t="s">
        <v>2450</v>
      </c>
      <c r="AS193" t="s">
        <v>2451</v>
      </c>
      <c r="AT193" t="s">
        <v>2452</v>
      </c>
      <c r="AU193">
        <v>2022</v>
      </c>
      <c r="AV193">
        <v>596</v>
      </c>
      <c r="AW193" t="s">
        <v>74</v>
      </c>
      <c r="AX193" t="s">
        <v>74</v>
      </c>
      <c r="AY193" t="s">
        <v>74</v>
      </c>
      <c r="AZ193" t="s">
        <v>74</v>
      </c>
      <c r="BA193" t="s">
        <v>74</v>
      </c>
      <c r="BB193" t="s">
        <v>74</v>
      </c>
      <c r="BC193" t="s">
        <v>74</v>
      </c>
      <c r="BD193">
        <v>127114</v>
      </c>
      <c r="BE193" t="s">
        <v>2453</v>
      </c>
      <c r="BF193" t="str">
        <f>HYPERLINK("http://dx.doi.org/10.1016/j.physa.2022.127114","http://dx.doi.org/10.1016/j.physa.2022.127114")</f>
        <v>http://dx.doi.org/10.1016/j.physa.2022.127114</v>
      </c>
      <c r="BG193" t="s">
        <v>74</v>
      </c>
      <c r="BH193" t="s">
        <v>244</v>
      </c>
      <c r="BI193">
        <v>10</v>
      </c>
      <c r="BJ193" t="s">
        <v>904</v>
      </c>
      <c r="BK193" t="s">
        <v>102</v>
      </c>
      <c r="BL193" t="s">
        <v>905</v>
      </c>
      <c r="BM193" t="s">
        <v>2454</v>
      </c>
      <c r="BN193" t="s">
        <v>74</v>
      </c>
      <c r="BO193" t="s">
        <v>74</v>
      </c>
      <c r="BP193" t="s">
        <v>74</v>
      </c>
      <c r="BQ193" t="s">
        <v>74</v>
      </c>
      <c r="BR193" t="s">
        <v>105</v>
      </c>
      <c r="BS193" t="s">
        <v>2455</v>
      </c>
      <c r="BT193" t="str">
        <f>HYPERLINK("https%3A%2F%2Fwww.webofscience.com%2Fwos%2Fwoscc%2Ffull-record%2FWOS:000806160300016","View Full Record in Web of Science")</f>
        <v>View Full Record in Web of Science</v>
      </c>
    </row>
    <row r="194" spans="1:72" x14ac:dyDescent="0.2">
      <c r="A194" t="s">
        <v>72</v>
      </c>
      <c r="B194" t="s">
        <v>6245</v>
      </c>
      <c r="C194" t="s">
        <v>74</v>
      </c>
      <c r="D194" t="s">
        <v>74</v>
      </c>
      <c r="E194" t="s">
        <v>74</v>
      </c>
      <c r="F194" t="s">
        <v>6246</v>
      </c>
      <c r="G194" t="s">
        <v>74</v>
      </c>
      <c r="H194" t="s">
        <v>74</v>
      </c>
      <c r="I194" t="s">
        <v>6247</v>
      </c>
      <c r="J194" t="s">
        <v>6248</v>
      </c>
      <c r="K194" t="s">
        <v>74</v>
      </c>
      <c r="L194" t="s">
        <v>74</v>
      </c>
      <c r="M194" t="s">
        <v>78</v>
      </c>
      <c r="N194" t="s">
        <v>79</v>
      </c>
      <c r="O194" t="s">
        <v>74</v>
      </c>
      <c r="P194" t="s">
        <v>74</v>
      </c>
      <c r="Q194" t="s">
        <v>74</v>
      </c>
      <c r="R194" t="s">
        <v>74</v>
      </c>
      <c r="S194" t="s">
        <v>74</v>
      </c>
      <c r="T194" t="s">
        <v>6249</v>
      </c>
      <c r="U194" t="s">
        <v>6250</v>
      </c>
      <c r="V194" t="s">
        <v>6251</v>
      </c>
      <c r="W194" s="1" t="s">
        <v>6252</v>
      </c>
      <c r="X194" t="s">
        <v>6253</v>
      </c>
      <c r="Y194" t="s">
        <v>6254</v>
      </c>
      <c r="Z194" t="s">
        <v>6255</v>
      </c>
      <c r="AA194" t="s">
        <v>6256</v>
      </c>
      <c r="AB194" t="s">
        <v>6257</v>
      </c>
      <c r="AC194" t="s">
        <v>6258</v>
      </c>
      <c r="AD194" t="s">
        <v>6259</v>
      </c>
      <c r="AE194" t="s">
        <v>6260</v>
      </c>
      <c r="AF194" t="s">
        <v>6261</v>
      </c>
      <c r="AG194">
        <v>65</v>
      </c>
      <c r="AH194">
        <v>1</v>
      </c>
      <c r="AI194">
        <v>1</v>
      </c>
      <c r="AJ194">
        <v>4</v>
      </c>
      <c r="AK194">
        <v>9</v>
      </c>
      <c r="AL194" t="s">
        <v>1128</v>
      </c>
      <c r="AM194" t="s">
        <v>1129</v>
      </c>
      <c r="AN194" t="s">
        <v>1130</v>
      </c>
      <c r="AO194" t="s">
        <v>6262</v>
      </c>
      <c r="AP194" t="s">
        <v>6263</v>
      </c>
      <c r="AQ194" t="s">
        <v>74</v>
      </c>
      <c r="AR194" t="s">
        <v>6264</v>
      </c>
      <c r="AS194" t="s">
        <v>6265</v>
      </c>
      <c r="AT194" t="s">
        <v>295</v>
      </c>
      <c r="AU194">
        <v>2022</v>
      </c>
      <c r="AV194">
        <v>91</v>
      </c>
      <c r="AW194">
        <v>11</v>
      </c>
      <c r="AX194" t="s">
        <v>74</v>
      </c>
      <c r="AY194" t="s">
        <v>74</v>
      </c>
      <c r="AZ194" t="s">
        <v>74</v>
      </c>
      <c r="BA194" t="s">
        <v>74</v>
      </c>
      <c r="BB194">
        <v>2171</v>
      </c>
      <c r="BC194">
        <v>2180</v>
      </c>
      <c r="BD194" t="s">
        <v>74</v>
      </c>
      <c r="BE194" t="s">
        <v>6266</v>
      </c>
      <c r="BF194" t="str">
        <f>HYPERLINK("http://dx.doi.org/10.1111/1365-2656.13746","http://dx.doi.org/10.1111/1365-2656.13746")</f>
        <v>http://dx.doi.org/10.1111/1365-2656.13746</v>
      </c>
      <c r="BG194" t="s">
        <v>74</v>
      </c>
      <c r="BH194" t="s">
        <v>1660</v>
      </c>
      <c r="BI194">
        <v>10</v>
      </c>
      <c r="BJ194" t="s">
        <v>6267</v>
      </c>
      <c r="BK194" t="s">
        <v>102</v>
      </c>
      <c r="BL194" t="s">
        <v>6268</v>
      </c>
      <c r="BM194" t="s">
        <v>6269</v>
      </c>
      <c r="BN194">
        <v>35596605</v>
      </c>
      <c r="BO194" t="s">
        <v>74</v>
      </c>
      <c r="BP194" t="s">
        <v>74</v>
      </c>
      <c r="BQ194" t="s">
        <v>74</v>
      </c>
      <c r="BR194" t="s">
        <v>105</v>
      </c>
      <c r="BS194" t="s">
        <v>6270</v>
      </c>
      <c r="BT194" t="str">
        <f>HYPERLINK("https%3A%2F%2Fwww.webofscience.com%2Fwos%2Fwoscc%2Ffull-record%2FWOS:000802077100001","View Full Record in Web of Science")</f>
        <v>View Full Record in Web of Science</v>
      </c>
    </row>
    <row r="195" spans="1:72" x14ac:dyDescent="0.2">
      <c r="A195" t="s">
        <v>72</v>
      </c>
      <c r="B195" t="s">
        <v>1365</v>
      </c>
      <c r="C195" t="s">
        <v>74</v>
      </c>
      <c r="D195" t="s">
        <v>74</v>
      </c>
      <c r="E195" t="s">
        <v>74</v>
      </c>
      <c r="F195" t="s">
        <v>1366</v>
      </c>
      <c r="G195" t="s">
        <v>74</v>
      </c>
      <c r="H195" t="s">
        <v>74</v>
      </c>
      <c r="I195" t="s">
        <v>1367</v>
      </c>
      <c r="J195" t="s">
        <v>1368</v>
      </c>
      <c r="K195" t="s">
        <v>74</v>
      </c>
      <c r="L195" t="s">
        <v>74</v>
      </c>
      <c r="M195" t="s">
        <v>78</v>
      </c>
      <c r="N195" t="s">
        <v>137</v>
      </c>
      <c r="O195" t="s">
        <v>74</v>
      </c>
      <c r="P195" t="s">
        <v>74</v>
      </c>
      <c r="Q195" t="s">
        <v>74</v>
      </c>
      <c r="R195" t="s">
        <v>74</v>
      </c>
      <c r="S195" t="s">
        <v>74</v>
      </c>
      <c r="T195" t="s">
        <v>1369</v>
      </c>
      <c r="U195" t="s">
        <v>1370</v>
      </c>
      <c r="V195" t="s">
        <v>1371</v>
      </c>
      <c r="W195" s="1" t="s">
        <v>1372</v>
      </c>
      <c r="X195" t="s">
        <v>1373</v>
      </c>
      <c r="Y195" t="s">
        <v>1374</v>
      </c>
      <c r="Z195" t="s">
        <v>1375</v>
      </c>
      <c r="AA195" t="s">
        <v>1376</v>
      </c>
      <c r="AB195" t="s">
        <v>1377</v>
      </c>
      <c r="AC195" t="s">
        <v>1378</v>
      </c>
      <c r="AD195" t="s">
        <v>1379</v>
      </c>
      <c r="AE195" t="s">
        <v>1380</v>
      </c>
      <c r="AF195" t="s">
        <v>1381</v>
      </c>
      <c r="AG195">
        <v>48</v>
      </c>
      <c r="AH195">
        <v>3</v>
      </c>
      <c r="AI195">
        <v>3</v>
      </c>
      <c r="AJ195">
        <v>6</v>
      </c>
      <c r="AK195">
        <v>13</v>
      </c>
      <c r="AL195" t="s">
        <v>1382</v>
      </c>
      <c r="AM195" t="s">
        <v>1383</v>
      </c>
      <c r="AN195" t="s">
        <v>1384</v>
      </c>
      <c r="AO195" t="s">
        <v>1385</v>
      </c>
      <c r="AP195" t="s">
        <v>74</v>
      </c>
      <c r="AQ195" t="s">
        <v>74</v>
      </c>
      <c r="AR195" t="s">
        <v>1386</v>
      </c>
      <c r="AS195" t="s">
        <v>1387</v>
      </c>
      <c r="AT195" t="s">
        <v>1388</v>
      </c>
      <c r="AU195">
        <v>2022</v>
      </c>
      <c r="AV195" t="s">
        <v>74</v>
      </c>
      <c r="AW195" t="s">
        <v>74</v>
      </c>
      <c r="AX195" t="s">
        <v>74</v>
      </c>
      <c r="AY195" t="s">
        <v>74</v>
      </c>
      <c r="AZ195" t="s">
        <v>74</v>
      </c>
      <c r="BA195" t="s">
        <v>74</v>
      </c>
      <c r="BB195" t="s">
        <v>74</v>
      </c>
      <c r="BC195" t="s">
        <v>74</v>
      </c>
      <c r="BD195" t="s">
        <v>74</v>
      </c>
      <c r="BE195" t="s">
        <v>1389</v>
      </c>
      <c r="BF195" t="str">
        <f>HYPERLINK("http://dx.doi.org/10.1021/acssuschemeng.2c03209","http://dx.doi.org/10.1021/acssuschemeng.2c03209")</f>
        <v>http://dx.doi.org/10.1021/acssuschemeng.2c03209</v>
      </c>
      <c r="BG195" t="s">
        <v>74</v>
      </c>
      <c r="BH195" t="s">
        <v>1137</v>
      </c>
      <c r="BI195">
        <v>11</v>
      </c>
      <c r="BJ195" t="s">
        <v>1390</v>
      </c>
      <c r="BK195" t="s">
        <v>102</v>
      </c>
      <c r="BL195" t="s">
        <v>1391</v>
      </c>
      <c r="BM195" t="s">
        <v>1392</v>
      </c>
      <c r="BN195" t="s">
        <v>74</v>
      </c>
      <c r="BO195" t="s">
        <v>74</v>
      </c>
      <c r="BP195" t="s">
        <v>74</v>
      </c>
      <c r="BQ195" t="s">
        <v>74</v>
      </c>
      <c r="BR195" t="s">
        <v>105</v>
      </c>
      <c r="BS195" t="s">
        <v>1393</v>
      </c>
      <c r="BT195" t="str">
        <f>HYPERLINK("https%3A%2F%2Fwww.webofscience.com%2Fwos%2Fwoscc%2Ffull-record%2FWOS:000854359500001","View Full Record in Web of Science")</f>
        <v>View Full Record in Web of Science</v>
      </c>
    </row>
    <row r="196" spans="1:72" x14ac:dyDescent="0.2">
      <c r="A196" t="s">
        <v>72</v>
      </c>
      <c r="B196" t="s">
        <v>2031</v>
      </c>
      <c r="C196" t="s">
        <v>74</v>
      </c>
      <c r="D196" t="s">
        <v>74</v>
      </c>
      <c r="E196" t="s">
        <v>74</v>
      </c>
      <c r="F196" t="s">
        <v>2032</v>
      </c>
      <c r="G196" t="s">
        <v>74</v>
      </c>
      <c r="H196" t="s">
        <v>74</v>
      </c>
      <c r="I196" t="s">
        <v>2033</v>
      </c>
      <c r="J196" t="s">
        <v>2034</v>
      </c>
      <c r="K196" t="s">
        <v>74</v>
      </c>
      <c r="L196" t="s">
        <v>74</v>
      </c>
      <c r="M196" t="s">
        <v>78</v>
      </c>
      <c r="N196" t="s">
        <v>79</v>
      </c>
      <c r="O196" t="s">
        <v>74</v>
      </c>
      <c r="P196" t="s">
        <v>74</v>
      </c>
      <c r="Q196" t="s">
        <v>74</v>
      </c>
      <c r="R196" t="s">
        <v>74</v>
      </c>
      <c r="S196" t="s">
        <v>74</v>
      </c>
      <c r="T196" t="s">
        <v>2035</v>
      </c>
      <c r="U196" t="s">
        <v>2036</v>
      </c>
      <c r="V196" t="s">
        <v>2037</v>
      </c>
      <c r="W196" s="1" t="s">
        <v>2038</v>
      </c>
      <c r="X196" t="s">
        <v>142</v>
      </c>
      <c r="Y196" t="s">
        <v>2039</v>
      </c>
      <c r="Z196" t="s">
        <v>2040</v>
      </c>
      <c r="AA196" t="s">
        <v>74</v>
      </c>
      <c r="AB196" t="s">
        <v>74</v>
      </c>
      <c r="AC196" t="s">
        <v>74</v>
      </c>
      <c r="AD196" t="s">
        <v>74</v>
      </c>
      <c r="AE196" t="s">
        <v>74</v>
      </c>
      <c r="AF196" t="s">
        <v>2041</v>
      </c>
      <c r="AG196">
        <v>62</v>
      </c>
      <c r="AH196">
        <v>0</v>
      </c>
      <c r="AI196">
        <v>0</v>
      </c>
      <c r="AJ196">
        <v>1</v>
      </c>
      <c r="AK196">
        <v>1</v>
      </c>
      <c r="AL196" t="s">
        <v>2042</v>
      </c>
      <c r="AM196" t="s">
        <v>2043</v>
      </c>
      <c r="AN196" t="s">
        <v>2044</v>
      </c>
      <c r="AO196" t="s">
        <v>74</v>
      </c>
      <c r="AP196" t="s">
        <v>2045</v>
      </c>
      <c r="AQ196" t="s">
        <v>74</v>
      </c>
      <c r="AR196" t="s">
        <v>2046</v>
      </c>
      <c r="AS196" t="s">
        <v>2047</v>
      </c>
      <c r="AT196" t="s">
        <v>2048</v>
      </c>
      <c r="AU196">
        <v>2022</v>
      </c>
      <c r="AV196">
        <v>6</v>
      </c>
      <c r="AW196" t="s">
        <v>74</v>
      </c>
      <c r="AX196" t="s">
        <v>74</v>
      </c>
      <c r="AY196" t="s">
        <v>74</v>
      </c>
      <c r="AZ196" t="s">
        <v>74</v>
      </c>
      <c r="BA196" t="s">
        <v>74</v>
      </c>
      <c r="BB196" t="s">
        <v>74</v>
      </c>
      <c r="BC196" t="s">
        <v>74</v>
      </c>
      <c r="BD196">
        <v>919885</v>
      </c>
      <c r="BE196" t="s">
        <v>2049</v>
      </c>
      <c r="BF196" t="str">
        <f>HYPERLINK("http://dx.doi.org/10.3389/fsufs.2022.919885","http://dx.doi.org/10.3389/fsufs.2022.919885")</f>
        <v>http://dx.doi.org/10.3389/fsufs.2022.919885</v>
      </c>
      <c r="BG196" t="s">
        <v>74</v>
      </c>
      <c r="BH196" t="s">
        <v>74</v>
      </c>
      <c r="BI196">
        <v>14</v>
      </c>
      <c r="BJ196" t="s">
        <v>342</v>
      </c>
      <c r="BK196" t="s">
        <v>102</v>
      </c>
      <c r="BL196" t="s">
        <v>342</v>
      </c>
      <c r="BM196" t="s">
        <v>2050</v>
      </c>
      <c r="BN196" t="s">
        <v>74</v>
      </c>
      <c r="BO196" t="s">
        <v>190</v>
      </c>
      <c r="BP196" t="s">
        <v>74</v>
      </c>
      <c r="BQ196" t="s">
        <v>74</v>
      </c>
      <c r="BR196" t="s">
        <v>105</v>
      </c>
      <c r="BS196" t="s">
        <v>2051</v>
      </c>
      <c r="BT196" t="str">
        <f>HYPERLINK("https%3A%2F%2Fwww.webofscience.com%2Fwos%2Fwoscc%2Ffull-record%2FWOS:000912090900001","View Full Record in Web of Science")</f>
        <v>View Full Record in Web of Science</v>
      </c>
    </row>
    <row r="197" spans="1:72" x14ac:dyDescent="0.2">
      <c r="A197" t="s">
        <v>72</v>
      </c>
      <c r="B197" t="s">
        <v>5261</v>
      </c>
      <c r="C197" t="s">
        <v>74</v>
      </c>
      <c r="D197" t="s">
        <v>74</v>
      </c>
      <c r="E197" t="s">
        <v>74</v>
      </c>
      <c r="F197" t="s">
        <v>5262</v>
      </c>
      <c r="G197" t="s">
        <v>74</v>
      </c>
      <c r="H197" t="s">
        <v>74</v>
      </c>
      <c r="I197" t="s">
        <v>5263</v>
      </c>
      <c r="J197" t="s">
        <v>5264</v>
      </c>
      <c r="K197" t="s">
        <v>74</v>
      </c>
      <c r="L197" t="s">
        <v>74</v>
      </c>
      <c r="M197" t="s">
        <v>78</v>
      </c>
      <c r="N197" t="s">
        <v>79</v>
      </c>
      <c r="O197" t="s">
        <v>74</v>
      </c>
      <c r="P197" t="s">
        <v>74</v>
      </c>
      <c r="Q197" t="s">
        <v>74</v>
      </c>
      <c r="R197" t="s">
        <v>74</v>
      </c>
      <c r="S197" t="s">
        <v>74</v>
      </c>
      <c r="T197" t="s">
        <v>5265</v>
      </c>
      <c r="U197" t="s">
        <v>5266</v>
      </c>
      <c r="V197" t="s">
        <v>5267</v>
      </c>
      <c r="W197" s="1" t="s">
        <v>5268</v>
      </c>
      <c r="X197" t="s">
        <v>772</v>
      </c>
      <c r="Y197" t="s">
        <v>5269</v>
      </c>
      <c r="Z197" t="s">
        <v>5270</v>
      </c>
      <c r="AA197" t="s">
        <v>74</v>
      </c>
      <c r="AB197" t="s">
        <v>74</v>
      </c>
      <c r="AC197" t="s">
        <v>74</v>
      </c>
      <c r="AD197" t="s">
        <v>74</v>
      </c>
      <c r="AE197" t="s">
        <v>74</v>
      </c>
      <c r="AF197" t="s">
        <v>5271</v>
      </c>
      <c r="AG197">
        <v>44</v>
      </c>
      <c r="AH197">
        <v>0</v>
      </c>
      <c r="AI197">
        <v>0</v>
      </c>
      <c r="AJ197">
        <v>0</v>
      </c>
      <c r="AK197">
        <v>1</v>
      </c>
      <c r="AL197" t="s">
        <v>5272</v>
      </c>
      <c r="AM197" t="s">
        <v>5273</v>
      </c>
      <c r="AN197" t="s">
        <v>5274</v>
      </c>
      <c r="AO197" t="s">
        <v>5275</v>
      </c>
      <c r="AP197" t="s">
        <v>5276</v>
      </c>
      <c r="AQ197" t="s">
        <v>74</v>
      </c>
      <c r="AR197" t="s">
        <v>5277</v>
      </c>
      <c r="AS197" t="s">
        <v>5278</v>
      </c>
      <c r="AT197" t="s">
        <v>74</v>
      </c>
      <c r="AU197">
        <v>2022</v>
      </c>
      <c r="AV197">
        <v>12</v>
      </c>
      <c r="AW197">
        <v>5</v>
      </c>
      <c r="AX197" t="s">
        <v>74</v>
      </c>
      <c r="AY197" t="s">
        <v>74</v>
      </c>
      <c r="AZ197" t="s">
        <v>74</v>
      </c>
      <c r="BA197" t="s">
        <v>74</v>
      </c>
      <c r="BB197">
        <v>668</v>
      </c>
      <c r="BC197">
        <v>675</v>
      </c>
      <c r="BD197" t="s">
        <v>74</v>
      </c>
      <c r="BE197" t="s">
        <v>5279</v>
      </c>
      <c r="BF197" t="str">
        <f>HYPERLINK("http://dx.doi.org/10.5455/OVJ.2022.v12.i5.11","http://dx.doi.org/10.5455/OVJ.2022.v12.i5.11")</f>
        <v>http://dx.doi.org/10.5455/OVJ.2022.v12.i5.11</v>
      </c>
      <c r="BG197" t="s">
        <v>74</v>
      </c>
      <c r="BH197" t="s">
        <v>74</v>
      </c>
      <c r="BI197">
        <v>8</v>
      </c>
      <c r="BJ197" t="s">
        <v>1594</v>
      </c>
      <c r="BK197" t="s">
        <v>187</v>
      </c>
      <c r="BL197" t="s">
        <v>1594</v>
      </c>
      <c r="BM197" t="s">
        <v>5280</v>
      </c>
      <c r="BN197">
        <v>36589398</v>
      </c>
      <c r="BO197" t="s">
        <v>104</v>
      </c>
      <c r="BP197" t="s">
        <v>74</v>
      </c>
      <c r="BQ197" t="s">
        <v>74</v>
      </c>
      <c r="BR197" t="s">
        <v>105</v>
      </c>
      <c r="BS197" t="s">
        <v>5281</v>
      </c>
      <c r="BT197" t="str">
        <f>HYPERLINK("https%3A%2F%2Fwww.webofscience.com%2Fwos%2Fwoscc%2Ffull-record%2FWOS:000869542400002","View Full Record in Web of Science")</f>
        <v>View Full Record in Web of Science</v>
      </c>
    </row>
    <row r="198" spans="1:72" x14ac:dyDescent="0.2">
      <c r="A198" t="s">
        <v>72</v>
      </c>
      <c r="B198" t="s">
        <v>4656</v>
      </c>
      <c r="C198" t="s">
        <v>74</v>
      </c>
      <c r="D198" t="s">
        <v>74</v>
      </c>
      <c r="E198" t="s">
        <v>74</v>
      </c>
      <c r="F198" t="s">
        <v>4657</v>
      </c>
      <c r="G198" t="s">
        <v>74</v>
      </c>
      <c r="H198" t="s">
        <v>74</v>
      </c>
      <c r="I198" t="s">
        <v>4658</v>
      </c>
      <c r="J198" t="s">
        <v>4659</v>
      </c>
      <c r="K198" t="s">
        <v>74</v>
      </c>
      <c r="L198" t="s">
        <v>74</v>
      </c>
      <c r="M198" t="s">
        <v>78</v>
      </c>
      <c r="N198" t="s">
        <v>52</v>
      </c>
      <c r="O198" t="s">
        <v>4660</v>
      </c>
      <c r="P198" t="s">
        <v>4661</v>
      </c>
      <c r="Q198" t="s">
        <v>4662</v>
      </c>
      <c r="R198" t="s">
        <v>74</v>
      </c>
      <c r="S198" t="s">
        <v>74</v>
      </c>
      <c r="T198" t="s">
        <v>74</v>
      </c>
      <c r="U198" t="s">
        <v>74</v>
      </c>
      <c r="V198" t="s">
        <v>74</v>
      </c>
      <c r="W198" s="1" t="s">
        <v>4663</v>
      </c>
      <c r="X198" t="s">
        <v>84</v>
      </c>
      <c r="Y198" t="s">
        <v>74</v>
      </c>
      <c r="Z198" t="s">
        <v>74</v>
      </c>
      <c r="AA198" t="s">
        <v>74</v>
      </c>
      <c r="AB198" t="s">
        <v>74</v>
      </c>
      <c r="AC198" t="s">
        <v>74</v>
      </c>
      <c r="AD198" t="s">
        <v>74</v>
      </c>
      <c r="AE198" t="s">
        <v>74</v>
      </c>
      <c r="AF198" t="s">
        <v>74</v>
      </c>
      <c r="AG198">
        <v>0</v>
      </c>
      <c r="AH198">
        <v>0</v>
      </c>
      <c r="AI198">
        <v>0</v>
      </c>
      <c r="AJ198">
        <v>0</v>
      </c>
      <c r="AK198">
        <v>0</v>
      </c>
      <c r="AL198" t="s">
        <v>4664</v>
      </c>
      <c r="AM198" t="s">
        <v>547</v>
      </c>
      <c r="AN198" t="s">
        <v>4665</v>
      </c>
      <c r="AO198" t="s">
        <v>4666</v>
      </c>
      <c r="AP198" t="s">
        <v>4667</v>
      </c>
      <c r="AQ198" t="s">
        <v>74</v>
      </c>
      <c r="AR198" t="s">
        <v>4668</v>
      </c>
      <c r="AS198" t="s">
        <v>4669</v>
      </c>
      <c r="AT198" t="s">
        <v>268</v>
      </c>
      <c r="AU198">
        <v>2022</v>
      </c>
      <c r="AV198">
        <v>30</v>
      </c>
      <c r="AW198" t="s">
        <v>4670</v>
      </c>
      <c r="AX198" t="s">
        <v>74</v>
      </c>
      <c r="AY198">
        <v>1</v>
      </c>
      <c r="AZ198" t="s">
        <v>74</v>
      </c>
      <c r="BA198" t="s">
        <v>4671</v>
      </c>
      <c r="BB198">
        <v>106</v>
      </c>
      <c r="BC198">
        <v>106</v>
      </c>
      <c r="BD198" t="s">
        <v>74</v>
      </c>
      <c r="BE198" t="s">
        <v>74</v>
      </c>
      <c r="BF198" t="s">
        <v>74</v>
      </c>
      <c r="BG198" t="s">
        <v>74</v>
      </c>
      <c r="BH198" t="s">
        <v>74</v>
      </c>
      <c r="BI198">
        <v>1</v>
      </c>
      <c r="BJ198" t="s">
        <v>4672</v>
      </c>
      <c r="BK198" t="s">
        <v>4673</v>
      </c>
      <c r="BL198" t="s">
        <v>4672</v>
      </c>
      <c r="BM198" t="s">
        <v>4674</v>
      </c>
      <c r="BN198" t="s">
        <v>74</v>
      </c>
      <c r="BO198" t="s">
        <v>74</v>
      </c>
      <c r="BP198" t="s">
        <v>74</v>
      </c>
      <c r="BQ198" t="s">
        <v>74</v>
      </c>
      <c r="BR198" t="s">
        <v>105</v>
      </c>
      <c r="BS198" t="s">
        <v>4675</v>
      </c>
      <c r="BT198" t="str">
        <f>HYPERLINK("https%3A%2F%2Fwww.webofscience.com%2Fwos%2Fwoscc%2Ffull-record%2FWOS:000779367700273","View Full Record in Web of Science")</f>
        <v>View Full Record in Web of Science</v>
      </c>
    </row>
    <row r="199" spans="1:72" x14ac:dyDescent="0.2">
      <c r="A199" t="s">
        <v>72</v>
      </c>
      <c r="B199" t="s">
        <v>3694</v>
      </c>
      <c r="C199" t="s">
        <v>74</v>
      </c>
      <c r="D199" t="s">
        <v>74</v>
      </c>
      <c r="E199" t="s">
        <v>74</v>
      </c>
      <c r="F199" t="s">
        <v>3695</v>
      </c>
      <c r="G199" t="s">
        <v>74</v>
      </c>
      <c r="H199" t="s">
        <v>74</v>
      </c>
      <c r="I199" t="s">
        <v>3696</v>
      </c>
      <c r="J199" t="s">
        <v>3697</v>
      </c>
      <c r="K199" t="s">
        <v>74</v>
      </c>
      <c r="L199" t="s">
        <v>74</v>
      </c>
      <c r="M199" t="s">
        <v>78</v>
      </c>
      <c r="N199" t="s">
        <v>79</v>
      </c>
      <c r="O199" t="s">
        <v>74</v>
      </c>
      <c r="P199" t="s">
        <v>74</v>
      </c>
      <c r="Q199" t="s">
        <v>74</v>
      </c>
      <c r="R199" t="s">
        <v>74</v>
      </c>
      <c r="S199" t="s">
        <v>74</v>
      </c>
      <c r="T199" t="s">
        <v>3698</v>
      </c>
      <c r="U199" t="s">
        <v>74</v>
      </c>
      <c r="V199" t="s">
        <v>3699</v>
      </c>
      <c r="W199" s="1" t="s">
        <v>3700</v>
      </c>
      <c r="X199" t="s">
        <v>84</v>
      </c>
      <c r="Y199" t="s">
        <v>3701</v>
      </c>
      <c r="Z199" t="s">
        <v>3702</v>
      </c>
      <c r="AA199" t="s">
        <v>74</v>
      </c>
      <c r="AB199" t="s">
        <v>74</v>
      </c>
      <c r="AC199" t="s">
        <v>74</v>
      </c>
      <c r="AD199" t="s">
        <v>74</v>
      </c>
      <c r="AE199" t="s">
        <v>74</v>
      </c>
      <c r="AF199" t="s">
        <v>3703</v>
      </c>
      <c r="AG199">
        <v>44</v>
      </c>
      <c r="AH199">
        <v>0</v>
      </c>
      <c r="AI199">
        <v>0</v>
      </c>
      <c r="AJ199">
        <v>0</v>
      </c>
      <c r="AK199">
        <v>0</v>
      </c>
      <c r="AL199" t="s">
        <v>3704</v>
      </c>
      <c r="AM199" t="s">
        <v>316</v>
      </c>
      <c r="AN199" t="s">
        <v>3705</v>
      </c>
      <c r="AO199" t="s">
        <v>3706</v>
      </c>
      <c r="AP199" t="s">
        <v>3707</v>
      </c>
      <c r="AQ199" t="s">
        <v>74</v>
      </c>
      <c r="AR199" t="s">
        <v>3708</v>
      </c>
      <c r="AS199" t="s">
        <v>3709</v>
      </c>
      <c r="AT199" t="s">
        <v>1487</v>
      </c>
      <c r="AU199">
        <v>2022</v>
      </c>
      <c r="AV199" t="s">
        <v>74</v>
      </c>
      <c r="AW199">
        <v>40</v>
      </c>
      <c r="AX199" t="s">
        <v>74</v>
      </c>
      <c r="AY199" t="s">
        <v>74</v>
      </c>
      <c r="AZ199" t="s">
        <v>74</v>
      </c>
      <c r="BA199" t="s">
        <v>74</v>
      </c>
      <c r="BB199" t="s">
        <v>74</v>
      </c>
      <c r="BC199" t="s">
        <v>74</v>
      </c>
      <c r="BD199">
        <v>9</v>
      </c>
      <c r="BE199" t="s">
        <v>3710</v>
      </c>
      <c r="BF199" t="str">
        <f>HYPERLINK("http://dx.doi.org/10.19052/eq.vol1.iss40.9","http://dx.doi.org/10.19052/eq.vol1.iss40.9")</f>
        <v>http://dx.doi.org/10.19052/eq.vol1.iss40.9</v>
      </c>
      <c r="BG199" t="s">
        <v>74</v>
      </c>
      <c r="BH199" t="s">
        <v>74</v>
      </c>
      <c r="BI199">
        <v>25</v>
      </c>
      <c r="BJ199" t="s">
        <v>3711</v>
      </c>
      <c r="BK199" t="s">
        <v>187</v>
      </c>
      <c r="BL199" t="s">
        <v>3711</v>
      </c>
      <c r="BM199" t="s">
        <v>3712</v>
      </c>
      <c r="BN199" t="s">
        <v>74</v>
      </c>
      <c r="BO199" t="s">
        <v>190</v>
      </c>
      <c r="BP199" t="s">
        <v>74</v>
      </c>
      <c r="BQ199" t="s">
        <v>74</v>
      </c>
      <c r="BR199" t="s">
        <v>105</v>
      </c>
      <c r="BS199" t="s">
        <v>3713</v>
      </c>
      <c r="BT199" t="str">
        <f>HYPERLINK("https%3A%2F%2Fwww.webofscience.com%2Fwos%2Fwoscc%2Ffull-record%2FWOS:000915554600006","View Full Record in Web of Science")</f>
        <v>View Full Record in Web of Science</v>
      </c>
    </row>
    <row r="200" spans="1:72" x14ac:dyDescent="0.2">
      <c r="A200" t="s">
        <v>72</v>
      </c>
      <c r="B200" t="s">
        <v>2647</v>
      </c>
      <c r="C200" t="s">
        <v>74</v>
      </c>
      <c r="D200" t="s">
        <v>74</v>
      </c>
      <c r="E200" t="s">
        <v>74</v>
      </c>
      <c r="F200" t="s">
        <v>2648</v>
      </c>
      <c r="G200" t="s">
        <v>74</v>
      </c>
      <c r="H200" t="s">
        <v>74</v>
      </c>
      <c r="I200" t="s">
        <v>2649</v>
      </c>
      <c r="J200" t="s">
        <v>2650</v>
      </c>
      <c r="K200" t="s">
        <v>74</v>
      </c>
      <c r="L200" t="s">
        <v>74</v>
      </c>
      <c r="M200" t="s">
        <v>78</v>
      </c>
      <c r="N200" t="s">
        <v>79</v>
      </c>
      <c r="O200" t="s">
        <v>74</v>
      </c>
      <c r="P200" t="s">
        <v>74</v>
      </c>
      <c r="Q200" t="s">
        <v>74</v>
      </c>
      <c r="R200" t="s">
        <v>74</v>
      </c>
      <c r="S200" t="s">
        <v>74</v>
      </c>
      <c r="T200" t="s">
        <v>2651</v>
      </c>
      <c r="U200" t="s">
        <v>2652</v>
      </c>
      <c r="V200" t="s">
        <v>2653</v>
      </c>
      <c r="W200" s="1" t="s">
        <v>2654</v>
      </c>
      <c r="X200" t="s">
        <v>84</v>
      </c>
      <c r="Y200" t="s">
        <v>2655</v>
      </c>
      <c r="Z200" t="s">
        <v>2656</v>
      </c>
      <c r="AA200" t="s">
        <v>74</v>
      </c>
      <c r="AB200" t="s">
        <v>74</v>
      </c>
      <c r="AC200" t="s">
        <v>74</v>
      </c>
      <c r="AD200" t="s">
        <v>74</v>
      </c>
      <c r="AE200" t="s">
        <v>74</v>
      </c>
      <c r="AF200" t="s">
        <v>2657</v>
      </c>
      <c r="AG200">
        <v>61</v>
      </c>
      <c r="AH200">
        <v>1</v>
      </c>
      <c r="AI200">
        <v>1</v>
      </c>
      <c r="AJ200">
        <v>5</v>
      </c>
      <c r="AK200">
        <v>8</v>
      </c>
      <c r="AL200" t="s">
        <v>1024</v>
      </c>
      <c r="AM200" t="s">
        <v>620</v>
      </c>
      <c r="AN200" t="s">
        <v>1025</v>
      </c>
      <c r="AO200" t="s">
        <v>2658</v>
      </c>
      <c r="AP200" t="s">
        <v>2659</v>
      </c>
      <c r="AQ200" t="s">
        <v>74</v>
      </c>
      <c r="AR200" t="s">
        <v>2660</v>
      </c>
      <c r="AS200" t="s">
        <v>2661</v>
      </c>
      <c r="AT200" t="s">
        <v>295</v>
      </c>
      <c r="AU200">
        <v>2022</v>
      </c>
      <c r="AV200">
        <v>165</v>
      </c>
      <c r="AW200" t="s">
        <v>74</v>
      </c>
      <c r="AX200" t="s">
        <v>74</v>
      </c>
      <c r="AY200" t="s">
        <v>74</v>
      </c>
      <c r="AZ200" t="s">
        <v>74</v>
      </c>
      <c r="BA200" t="s">
        <v>74</v>
      </c>
      <c r="BB200">
        <v>172</v>
      </c>
      <c r="BC200">
        <v>185</v>
      </c>
      <c r="BD200" t="s">
        <v>74</v>
      </c>
      <c r="BE200" t="s">
        <v>2662</v>
      </c>
      <c r="BF200" t="str">
        <f>HYPERLINK("http://dx.doi.org/10.1016/j.tra.2022.09.008","http://dx.doi.org/10.1016/j.tra.2022.09.008")</f>
        <v>http://dx.doi.org/10.1016/j.tra.2022.09.008</v>
      </c>
      <c r="BG200" t="s">
        <v>74</v>
      </c>
      <c r="BH200" t="s">
        <v>74</v>
      </c>
      <c r="BI200">
        <v>14</v>
      </c>
      <c r="BJ200" t="s">
        <v>2663</v>
      </c>
      <c r="BK200" t="s">
        <v>298</v>
      </c>
      <c r="BL200" t="s">
        <v>2664</v>
      </c>
      <c r="BM200" t="s">
        <v>2665</v>
      </c>
      <c r="BN200" t="s">
        <v>74</v>
      </c>
      <c r="BO200" t="s">
        <v>74</v>
      </c>
      <c r="BP200" t="s">
        <v>74</v>
      </c>
      <c r="BQ200" t="s">
        <v>74</v>
      </c>
      <c r="BR200" t="s">
        <v>105</v>
      </c>
      <c r="BS200" t="s">
        <v>2666</v>
      </c>
      <c r="BT200" t="str">
        <f>HYPERLINK("https%3A%2F%2Fwww.webofscience.com%2Fwos%2Fwoscc%2Ffull-record%2FWOS:000865288200004","View Full Record in Web of Science")</f>
        <v>View Full Record in Web of Science</v>
      </c>
    </row>
    <row r="201" spans="1:72" x14ac:dyDescent="0.2">
      <c r="A201" t="s">
        <v>72</v>
      </c>
      <c r="B201" t="s">
        <v>807</v>
      </c>
      <c r="C201" t="s">
        <v>74</v>
      </c>
      <c r="D201" t="s">
        <v>74</v>
      </c>
      <c r="E201" t="s">
        <v>74</v>
      </c>
      <c r="F201" t="s">
        <v>808</v>
      </c>
      <c r="G201" t="s">
        <v>74</v>
      </c>
      <c r="H201" t="s">
        <v>74</v>
      </c>
      <c r="I201" t="s">
        <v>809</v>
      </c>
      <c r="J201" t="s">
        <v>810</v>
      </c>
      <c r="K201" t="s">
        <v>74</v>
      </c>
      <c r="L201" t="s">
        <v>74</v>
      </c>
      <c r="M201" t="s">
        <v>78</v>
      </c>
      <c r="N201" t="s">
        <v>79</v>
      </c>
      <c r="O201" t="s">
        <v>74</v>
      </c>
      <c r="P201" t="s">
        <v>74</v>
      </c>
      <c r="Q201" t="s">
        <v>74</v>
      </c>
      <c r="R201" t="s">
        <v>74</v>
      </c>
      <c r="S201" t="s">
        <v>74</v>
      </c>
      <c r="T201" t="s">
        <v>811</v>
      </c>
      <c r="U201" t="s">
        <v>812</v>
      </c>
      <c r="V201" t="s">
        <v>813</v>
      </c>
      <c r="W201" s="1" t="s">
        <v>814</v>
      </c>
      <c r="X201" t="s">
        <v>284</v>
      </c>
      <c r="Y201" t="s">
        <v>815</v>
      </c>
      <c r="Z201" t="s">
        <v>816</v>
      </c>
      <c r="AA201" t="s">
        <v>74</v>
      </c>
      <c r="AB201" t="s">
        <v>817</v>
      </c>
      <c r="AC201" t="s">
        <v>818</v>
      </c>
      <c r="AD201" t="s">
        <v>819</v>
      </c>
      <c r="AE201" t="s">
        <v>820</v>
      </c>
      <c r="AF201" t="s">
        <v>821</v>
      </c>
      <c r="AG201">
        <v>38</v>
      </c>
      <c r="AH201">
        <v>0</v>
      </c>
      <c r="AI201">
        <v>0</v>
      </c>
      <c r="AJ201">
        <v>0</v>
      </c>
      <c r="AK201">
        <v>0</v>
      </c>
      <c r="AL201" t="s">
        <v>822</v>
      </c>
      <c r="AM201" t="s">
        <v>823</v>
      </c>
      <c r="AN201" t="s">
        <v>824</v>
      </c>
      <c r="AO201" t="s">
        <v>825</v>
      </c>
      <c r="AP201" t="s">
        <v>826</v>
      </c>
      <c r="AQ201" t="s">
        <v>74</v>
      </c>
      <c r="AR201" t="s">
        <v>827</v>
      </c>
      <c r="AS201" t="s">
        <v>828</v>
      </c>
      <c r="AT201" t="s">
        <v>74</v>
      </c>
      <c r="AU201">
        <v>2022</v>
      </c>
      <c r="AV201">
        <v>58</v>
      </c>
      <c r="AW201" t="s">
        <v>74</v>
      </c>
      <c r="AX201" t="s">
        <v>74</v>
      </c>
      <c r="AY201" t="s">
        <v>74</v>
      </c>
      <c r="AZ201" t="s">
        <v>74</v>
      </c>
      <c r="BA201" t="s">
        <v>74</v>
      </c>
      <c r="BB201" t="s">
        <v>74</v>
      </c>
      <c r="BC201" t="s">
        <v>74</v>
      </c>
      <c r="BD201" t="s">
        <v>829</v>
      </c>
      <c r="BE201" t="s">
        <v>830</v>
      </c>
      <c r="BF201" t="str">
        <f>HYPERLINK("http://dx.doi.org/10.1590/s2175-97902022e20350","http://dx.doi.org/10.1590/s2175-97902022e20350")</f>
        <v>http://dx.doi.org/10.1590/s2175-97902022e20350</v>
      </c>
      <c r="BG201" t="s">
        <v>74</v>
      </c>
      <c r="BH201" t="s">
        <v>74</v>
      </c>
      <c r="BI201">
        <v>14</v>
      </c>
      <c r="BJ201" t="s">
        <v>129</v>
      </c>
      <c r="BK201" t="s">
        <v>102</v>
      </c>
      <c r="BL201" t="s">
        <v>129</v>
      </c>
      <c r="BM201" t="s">
        <v>831</v>
      </c>
      <c r="BN201" t="s">
        <v>74</v>
      </c>
      <c r="BO201" t="s">
        <v>190</v>
      </c>
      <c r="BP201" t="s">
        <v>74</v>
      </c>
      <c r="BQ201" t="s">
        <v>74</v>
      </c>
      <c r="BR201" t="s">
        <v>105</v>
      </c>
      <c r="BS201" t="s">
        <v>832</v>
      </c>
      <c r="BT201" t="str">
        <f>HYPERLINK("https%3A%2F%2Fwww.webofscience.com%2Fwos%2Fwoscc%2Ffull-record%2FWOS:000917549100001","View Full Record in Web of Science")</f>
        <v>View Full Record in Web of Science</v>
      </c>
    </row>
    <row r="202" spans="1:72" x14ac:dyDescent="0.2">
      <c r="A202" t="s">
        <v>72</v>
      </c>
      <c r="B202" t="s">
        <v>4496</v>
      </c>
      <c r="C202" t="s">
        <v>74</v>
      </c>
      <c r="D202" t="s">
        <v>74</v>
      </c>
      <c r="E202" t="s">
        <v>74</v>
      </c>
      <c r="F202" t="s">
        <v>4497</v>
      </c>
      <c r="G202" t="s">
        <v>74</v>
      </c>
      <c r="H202" t="s">
        <v>74</v>
      </c>
      <c r="I202" t="s">
        <v>4498</v>
      </c>
      <c r="J202" t="s">
        <v>4499</v>
      </c>
      <c r="K202" t="s">
        <v>74</v>
      </c>
      <c r="L202" t="s">
        <v>74</v>
      </c>
      <c r="M202" t="s">
        <v>1517</v>
      </c>
      <c r="N202" t="s">
        <v>79</v>
      </c>
      <c r="O202" t="s">
        <v>74</v>
      </c>
      <c r="P202" t="s">
        <v>74</v>
      </c>
      <c r="Q202" t="s">
        <v>74</v>
      </c>
      <c r="R202" t="s">
        <v>74</v>
      </c>
      <c r="S202" t="s">
        <v>74</v>
      </c>
      <c r="T202" t="s">
        <v>4500</v>
      </c>
      <c r="U202" t="s">
        <v>4501</v>
      </c>
      <c r="V202" t="s">
        <v>4502</v>
      </c>
      <c r="W202" s="1" t="s">
        <v>4503</v>
      </c>
      <c r="X202" t="s">
        <v>4504</v>
      </c>
      <c r="Y202" t="s">
        <v>4505</v>
      </c>
      <c r="Z202" t="s">
        <v>74</v>
      </c>
      <c r="AA202" t="s">
        <v>74</v>
      </c>
      <c r="AB202" t="s">
        <v>74</v>
      </c>
      <c r="AC202" t="s">
        <v>74</v>
      </c>
      <c r="AD202" t="s">
        <v>74</v>
      </c>
      <c r="AE202" t="s">
        <v>74</v>
      </c>
      <c r="AF202" t="s">
        <v>4506</v>
      </c>
      <c r="AG202">
        <v>67</v>
      </c>
      <c r="AH202">
        <v>0</v>
      </c>
      <c r="AI202">
        <v>0</v>
      </c>
      <c r="AJ202">
        <v>1</v>
      </c>
      <c r="AK202">
        <v>1</v>
      </c>
      <c r="AL202" t="s">
        <v>4507</v>
      </c>
      <c r="AM202" t="s">
        <v>410</v>
      </c>
      <c r="AN202" t="s">
        <v>4508</v>
      </c>
      <c r="AO202" t="s">
        <v>4509</v>
      </c>
      <c r="AP202" t="s">
        <v>74</v>
      </c>
      <c r="AQ202" t="s">
        <v>74</v>
      </c>
      <c r="AR202" t="s">
        <v>4510</v>
      </c>
      <c r="AS202" t="s">
        <v>4511</v>
      </c>
      <c r="AT202" t="s">
        <v>931</v>
      </c>
      <c r="AU202">
        <v>2022</v>
      </c>
      <c r="AV202">
        <v>15</v>
      </c>
      <c r="AW202">
        <v>2</v>
      </c>
      <c r="AX202" t="s">
        <v>74</v>
      </c>
      <c r="AY202" t="s">
        <v>74</v>
      </c>
      <c r="AZ202" t="s">
        <v>74</v>
      </c>
      <c r="BA202" t="s">
        <v>74</v>
      </c>
      <c r="BB202">
        <v>1</v>
      </c>
      <c r="BC202">
        <v>22</v>
      </c>
      <c r="BD202" t="s">
        <v>74</v>
      </c>
      <c r="BE202" t="s">
        <v>4512</v>
      </c>
      <c r="BF202" t="str">
        <f>HYPERLINK("http://dx.doi.org/10.21615/cesp.5896","http://dx.doi.org/10.21615/cesp.5896")</f>
        <v>http://dx.doi.org/10.21615/cesp.5896</v>
      </c>
      <c r="BG202" t="s">
        <v>74</v>
      </c>
      <c r="BH202" t="s">
        <v>74</v>
      </c>
      <c r="BI202">
        <v>22</v>
      </c>
      <c r="BJ202" t="s">
        <v>2200</v>
      </c>
      <c r="BK202" t="s">
        <v>187</v>
      </c>
      <c r="BL202" t="s">
        <v>2201</v>
      </c>
      <c r="BM202" t="s">
        <v>4513</v>
      </c>
      <c r="BN202" t="s">
        <v>74</v>
      </c>
      <c r="BO202" t="s">
        <v>190</v>
      </c>
      <c r="BP202" t="s">
        <v>74</v>
      </c>
      <c r="BQ202" t="s">
        <v>74</v>
      </c>
      <c r="BR202" t="s">
        <v>105</v>
      </c>
      <c r="BS202" t="s">
        <v>4514</v>
      </c>
      <c r="BT202" t="str">
        <f>HYPERLINK("https%3A%2F%2Fwww.webofscience.com%2Fwos%2Fwoscc%2Ffull-record%2FWOS:000802708000001","View Full Record in Web of Science")</f>
        <v>View Full Record in Web of Science</v>
      </c>
    </row>
    <row r="203" spans="1:72" x14ac:dyDescent="0.2">
      <c r="A203" t="s">
        <v>72</v>
      </c>
      <c r="B203" t="s">
        <v>2848</v>
      </c>
      <c r="C203" t="s">
        <v>74</v>
      </c>
      <c r="D203" t="s">
        <v>74</v>
      </c>
      <c r="E203" t="s">
        <v>74</v>
      </c>
      <c r="F203" t="s">
        <v>2849</v>
      </c>
      <c r="G203" t="s">
        <v>74</v>
      </c>
      <c r="H203" t="s">
        <v>74</v>
      </c>
      <c r="I203" t="s">
        <v>2850</v>
      </c>
      <c r="J203" t="s">
        <v>2851</v>
      </c>
      <c r="K203" t="s">
        <v>74</v>
      </c>
      <c r="L203" t="s">
        <v>74</v>
      </c>
      <c r="M203" t="s">
        <v>78</v>
      </c>
      <c r="N203" t="s">
        <v>79</v>
      </c>
      <c r="O203" t="s">
        <v>74</v>
      </c>
      <c r="P203" t="s">
        <v>74</v>
      </c>
      <c r="Q203" t="s">
        <v>74</v>
      </c>
      <c r="R203" t="s">
        <v>74</v>
      </c>
      <c r="S203" t="s">
        <v>74</v>
      </c>
      <c r="T203" t="s">
        <v>2852</v>
      </c>
      <c r="U203" t="s">
        <v>2853</v>
      </c>
      <c r="V203" t="s">
        <v>2854</v>
      </c>
      <c r="W203" s="1" t="s">
        <v>2855</v>
      </c>
      <c r="X203" t="s">
        <v>2856</v>
      </c>
      <c r="Y203" t="s">
        <v>2857</v>
      </c>
      <c r="Z203" t="s">
        <v>2858</v>
      </c>
      <c r="AA203" t="s">
        <v>74</v>
      </c>
      <c r="AB203" t="s">
        <v>2859</v>
      </c>
      <c r="AC203" t="s">
        <v>2860</v>
      </c>
      <c r="AD203" t="s">
        <v>2860</v>
      </c>
      <c r="AE203" t="s">
        <v>2861</v>
      </c>
      <c r="AF203" t="s">
        <v>2862</v>
      </c>
      <c r="AG203">
        <v>21</v>
      </c>
      <c r="AH203">
        <v>0</v>
      </c>
      <c r="AI203">
        <v>0</v>
      </c>
      <c r="AJ203">
        <v>1</v>
      </c>
      <c r="AK203">
        <v>1</v>
      </c>
      <c r="AL203" t="s">
        <v>1024</v>
      </c>
      <c r="AM203" t="s">
        <v>620</v>
      </c>
      <c r="AN203" t="s">
        <v>1025</v>
      </c>
      <c r="AO203" t="s">
        <v>2863</v>
      </c>
      <c r="AP203" t="s">
        <v>2864</v>
      </c>
      <c r="AQ203" t="s">
        <v>74</v>
      </c>
      <c r="AR203" t="s">
        <v>2865</v>
      </c>
      <c r="AS203" t="s">
        <v>2866</v>
      </c>
      <c r="AT203" t="s">
        <v>1753</v>
      </c>
      <c r="AU203">
        <v>2022</v>
      </c>
      <c r="AV203">
        <v>188</v>
      </c>
      <c r="AW203" t="s">
        <v>74</v>
      </c>
      <c r="AX203" t="s">
        <v>74</v>
      </c>
      <c r="AY203" t="s">
        <v>74</v>
      </c>
      <c r="AZ203" t="s">
        <v>74</v>
      </c>
      <c r="BA203" t="s">
        <v>74</v>
      </c>
      <c r="BB203" t="s">
        <v>74</v>
      </c>
      <c r="BC203" t="s">
        <v>74</v>
      </c>
      <c r="BD203">
        <v>110360</v>
      </c>
      <c r="BE203" t="s">
        <v>2867</v>
      </c>
      <c r="BF203" t="str">
        <f>HYPERLINK("http://dx.doi.org/10.1016/j.apradiso.2022.110360","http://dx.doi.org/10.1016/j.apradiso.2022.110360")</f>
        <v>http://dx.doi.org/10.1016/j.apradiso.2022.110360</v>
      </c>
      <c r="BG203" t="s">
        <v>74</v>
      </c>
      <c r="BH203" t="s">
        <v>501</v>
      </c>
      <c r="BI203">
        <v>8</v>
      </c>
      <c r="BJ203" t="s">
        <v>2868</v>
      </c>
      <c r="BK203" t="s">
        <v>102</v>
      </c>
      <c r="BL203" t="s">
        <v>2869</v>
      </c>
      <c r="BM203" t="s">
        <v>2870</v>
      </c>
      <c r="BN203">
        <v>35839709</v>
      </c>
      <c r="BO203" t="s">
        <v>74</v>
      </c>
      <c r="BP203" t="s">
        <v>74</v>
      </c>
      <c r="BQ203" t="s">
        <v>74</v>
      </c>
      <c r="BR203" t="s">
        <v>105</v>
      </c>
      <c r="BS203" t="s">
        <v>2871</v>
      </c>
      <c r="BT203" t="str">
        <f>HYPERLINK("https%3A%2F%2Fwww.webofscience.com%2Fwos%2Fwoscc%2Ffull-record%2FWOS:000861265900001","View Full Record in Web of Science")</f>
        <v>View Full Record in Web of Science</v>
      </c>
    </row>
    <row r="204" spans="1:72" x14ac:dyDescent="0.2">
      <c r="A204" t="s">
        <v>72</v>
      </c>
      <c r="B204" t="s">
        <v>4617</v>
      </c>
      <c r="C204" t="s">
        <v>74</v>
      </c>
      <c r="D204" t="s">
        <v>74</v>
      </c>
      <c r="E204" t="s">
        <v>74</v>
      </c>
      <c r="F204" t="s">
        <v>4618</v>
      </c>
      <c r="G204" t="s">
        <v>74</v>
      </c>
      <c r="H204" t="s">
        <v>74</v>
      </c>
      <c r="I204" t="s">
        <v>4619</v>
      </c>
      <c r="J204" t="s">
        <v>4620</v>
      </c>
      <c r="K204" t="s">
        <v>74</v>
      </c>
      <c r="L204" t="s">
        <v>74</v>
      </c>
      <c r="M204" t="s">
        <v>78</v>
      </c>
      <c r="N204" t="s">
        <v>79</v>
      </c>
      <c r="O204" t="s">
        <v>74</v>
      </c>
      <c r="P204" t="s">
        <v>74</v>
      </c>
      <c r="Q204" t="s">
        <v>74</v>
      </c>
      <c r="R204" t="s">
        <v>74</v>
      </c>
      <c r="S204" t="s">
        <v>74</v>
      </c>
      <c r="T204" t="s">
        <v>4621</v>
      </c>
      <c r="U204" t="s">
        <v>4622</v>
      </c>
      <c r="V204" t="s">
        <v>74</v>
      </c>
      <c r="W204" s="1" t="s">
        <v>4623</v>
      </c>
      <c r="X204" t="s">
        <v>4624</v>
      </c>
      <c r="Y204" t="s">
        <v>4625</v>
      </c>
      <c r="Z204" t="s">
        <v>4626</v>
      </c>
      <c r="AA204" t="s">
        <v>74</v>
      </c>
      <c r="AB204" t="s">
        <v>4627</v>
      </c>
      <c r="AC204" t="s">
        <v>74</v>
      </c>
      <c r="AD204" t="s">
        <v>74</v>
      </c>
      <c r="AE204" t="s">
        <v>74</v>
      </c>
      <c r="AF204" t="s">
        <v>4628</v>
      </c>
      <c r="AG204">
        <v>31</v>
      </c>
      <c r="AH204">
        <v>1</v>
      </c>
      <c r="AI204">
        <v>1</v>
      </c>
      <c r="AJ204">
        <v>3</v>
      </c>
      <c r="AK204">
        <v>5</v>
      </c>
      <c r="AL204" t="s">
        <v>1128</v>
      </c>
      <c r="AM204" t="s">
        <v>1129</v>
      </c>
      <c r="AN204" t="s">
        <v>1130</v>
      </c>
      <c r="AO204" t="s">
        <v>4629</v>
      </c>
      <c r="AP204" t="s">
        <v>4630</v>
      </c>
      <c r="AQ204" t="s">
        <v>74</v>
      </c>
      <c r="AR204" t="s">
        <v>4620</v>
      </c>
      <c r="AS204" t="s">
        <v>2090</v>
      </c>
      <c r="AT204" t="s">
        <v>476</v>
      </c>
      <c r="AU204">
        <v>2022</v>
      </c>
      <c r="AV204">
        <v>103</v>
      </c>
      <c r="AW204">
        <v>9</v>
      </c>
      <c r="AX204" t="s">
        <v>74</v>
      </c>
      <c r="AY204" t="s">
        <v>74</v>
      </c>
      <c r="AZ204" t="s">
        <v>74</v>
      </c>
      <c r="BA204" t="s">
        <v>74</v>
      </c>
      <c r="BB204" t="s">
        <v>74</v>
      </c>
      <c r="BC204" t="s">
        <v>74</v>
      </c>
      <c r="BD204" t="s">
        <v>4631</v>
      </c>
      <c r="BE204" t="s">
        <v>4632</v>
      </c>
      <c r="BF204" t="str">
        <f>HYPERLINK("http://dx.doi.org/10.1002/ecy.3778","http://dx.doi.org/10.1002/ecy.3778")</f>
        <v>http://dx.doi.org/10.1002/ecy.3778</v>
      </c>
      <c r="BG204" t="s">
        <v>74</v>
      </c>
      <c r="BH204" t="s">
        <v>501</v>
      </c>
      <c r="BI204">
        <v>5</v>
      </c>
      <c r="BJ204" t="s">
        <v>2090</v>
      </c>
      <c r="BK204" t="s">
        <v>102</v>
      </c>
      <c r="BL204" t="s">
        <v>1033</v>
      </c>
      <c r="BM204" t="s">
        <v>4633</v>
      </c>
      <c r="BN204">
        <v>35657118</v>
      </c>
      <c r="BO204" t="s">
        <v>74</v>
      </c>
      <c r="BP204" t="s">
        <v>74</v>
      </c>
      <c r="BQ204" t="s">
        <v>74</v>
      </c>
      <c r="BR204" t="s">
        <v>105</v>
      </c>
      <c r="BS204" t="s">
        <v>4634</v>
      </c>
      <c r="BT204" t="str">
        <f>HYPERLINK("https%3A%2F%2Fwww.webofscience.com%2Fwos%2Fwoscc%2Ffull-record%2FWOS:000828486500001","View Full Record in Web of Science")</f>
        <v>View Full Record in Web of Science</v>
      </c>
    </row>
    <row r="205" spans="1:72" x14ac:dyDescent="0.2">
      <c r="A205" t="s">
        <v>72</v>
      </c>
      <c r="B205" t="s">
        <v>4971</v>
      </c>
      <c r="C205" t="s">
        <v>74</v>
      </c>
      <c r="D205" t="s">
        <v>74</v>
      </c>
      <c r="E205" t="s">
        <v>74</v>
      </c>
      <c r="F205" t="s">
        <v>4972</v>
      </c>
      <c r="G205" t="s">
        <v>74</v>
      </c>
      <c r="H205" t="s">
        <v>74</v>
      </c>
      <c r="I205" t="s">
        <v>4973</v>
      </c>
      <c r="J205" t="s">
        <v>2284</v>
      </c>
      <c r="K205" t="s">
        <v>74</v>
      </c>
      <c r="L205" t="s">
        <v>74</v>
      </c>
      <c r="M205" t="s">
        <v>1517</v>
      </c>
      <c r="N205" t="s">
        <v>79</v>
      </c>
      <c r="O205" t="s">
        <v>74</v>
      </c>
      <c r="P205" t="s">
        <v>74</v>
      </c>
      <c r="Q205" t="s">
        <v>74</v>
      </c>
      <c r="R205" t="s">
        <v>74</v>
      </c>
      <c r="S205" t="s">
        <v>74</v>
      </c>
      <c r="T205" t="s">
        <v>4974</v>
      </c>
      <c r="U205" t="s">
        <v>4975</v>
      </c>
      <c r="V205" t="s">
        <v>4976</v>
      </c>
      <c r="W205" s="1" t="s">
        <v>4977</v>
      </c>
      <c r="X205" t="s">
        <v>4978</v>
      </c>
      <c r="Y205" t="s">
        <v>4979</v>
      </c>
      <c r="Z205" t="s">
        <v>4980</v>
      </c>
      <c r="AA205" t="s">
        <v>74</v>
      </c>
      <c r="AB205" t="s">
        <v>4981</v>
      </c>
      <c r="AC205" t="s">
        <v>74</v>
      </c>
      <c r="AD205" t="s">
        <v>74</v>
      </c>
      <c r="AE205" t="s">
        <v>74</v>
      </c>
      <c r="AF205" t="s">
        <v>4982</v>
      </c>
      <c r="AG205">
        <v>75</v>
      </c>
      <c r="AH205">
        <v>0</v>
      </c>
      <c r="AI205">
        <v>0</v>
      </c>
      <c r="AJ205">
        <v>1</v>
      </c>
      <c r="AK205">
        <v>1</v>
      </c>
      <c r="AL205" t="s">
        <v>2293</v>
      </c>
      <c r="AM205" t="s">
        <v>2294</v>
      </c>
      <c r="AN205" t="s">
        <v>2295</v>
      </c>
      <c r="AO205" t="s">
        <v>2296</v>
      </c>
      <c r="AP205" t="s">
        <v>2297</v>
      </c>
      <c r="AQ205" t="s">
        <v>74</v>
      </c>
      <c r="AR205" t="s">
        <v>2298</v>
      </c>
      <c r="AS205" t="s">
        <v>2299</v>
      </c>
      <c r="AT205" t="s">
        <v>960</v>
      </c>
      <c r="AU205">
        <v>2022</v>
      </c>
      <c r="AV205">
        <v>44</v>
      </c>
      <c r="AW205">
        <v>1</v>
      </c>
      <c r="AX205" t="s">
        <v>74</v>
      </c>
      <c r="AY205" t="s">
        <v>74</v>
      </c>
      <c r="AZ205" t="s">
        <v>74</v>
      </c>
      <c r="BA205" t="s">
        <v>74</v>
      </c>
      <c r="BB205">
        <v>49</v>
      </c>
      <c r="BC205">
        <v>73</v>
      </c>
      <c r="BD205" t="s">
        <v>74</v>
      </c>
      <c r="BE205" t="s">
        <v>4983</v>
      </c>
      <c r="BF205" t="str">
        <f>HYPERLINK("http://dx.doi.org/10.18273/revbol.v44n1-2022002","http://dx.doi.org/10.18273/revbol.v44n1-2022002")</f>
        <v>http://dx.doi.org/10.18273/revbol.v44n1-2022002</v>
      </c>
      <c r="BG205" t="s">
        <v>74</v>
      </c>
      <c r="BH205" t="s">
        <v>74</v>
      </c>
      <c r="BI205">
        <v>25</v>
      </c>
      <c r="BJ205" t="s">
        <v>2301</v>
      </c>
      <c r="BK205" t="s">
        <v>187</v>
      </c>
      <c r="BL205" t="s">
        <v>2301</v>
      </c>
      <c r="BM205" t="s">
        <v>4984</v>
      </c>
      <c r="BN205" t="s">
        <v>74</v>
      </c>
      <c r="BO205" t="s">
        <v>419</v>
      </c>
      <c r="BP205" t="s">
        <v>74</v>
      </c>
      <c r="BQ205" t="s">
        <v>74</v>
      </c>
      <c r="BR205" t="s">
        <v>105</v>
      </c>
      <c r="BS205" t="s">
        <v>4985</v>
      </c>
      <c r="BT205" t="str">
        <f>HYPERLINK("https%3A%2F%2Fwww.webofscience.com%2Fwos%2Fwoscc%2Ffull-record%2FWOS:000753738800003","View Full Record in Web of Science")</f>
        <v>View Full Record in Web of Science</v>
      </c>
    </row>
    <row r="206" spans="1:72" x14ac:dyDescent="0.2">
      <c r="A206" t="s">
        <v>72</v>
      </c>
      <c r="B206" t="s">
        <v>1963</v>
      </c>
      <c r="C206" t="s">
        <v>74</v>
      </c>
      <c r="D206" t="s">
        <v>74</v>
      </c>
      <c r="E206" t="s">
        <v>74</v>
      </c>
      <c r="F206" t="s">
        <v>1964</v>
      </c>
      <c r="G206" t="s">
        <v>74</v>
      </c>
      <c r="H206" t="s">
        <v>74</v>
      </c>
      <c r="I206" t="s">
        <v>1965</v>
      </c>
      <c r="J206" t="s">
        <v>329</v>
      </c>
      <c r="K206" t="s">
        <v>74</v>
      </c>
      <c r="L206" t="s">
        <v>74</v>
      </c>
      <c r="M206" t="s">
        <v>78</v>
      </c>
      <c r="N206" t="s">
        <v>79</v>
      </c>
      <c r="O206" t="s">
        <v>74</v>
      </c>
      <c r="P206" t="s">
        <v>74</v>
      </c>
      <c r="Q206" t="s">
        <v>74</v>
      </c>
      <c r="R206" t="s">
        <v>74</v>
      </c>
      <c r="S206" t="s">
        <v>74</v>
      </c>
      <c r="T206" t="s">
        <v>1966</v>
      </c>
      <c r="U206" t="s">
        <v>1967</v>
      </c>
      <c r="V206" t="s">
        <v>1968</v>
      </c>
      <c r="W206" s="1" t="s">
        <v>1969</v>
      </c>
      <c r="X206" t="s">
        <v>84</v>
      </c>
      <c r="Y206" t="s">
        <v>1970</v>
      </c>
      <c r="Z206" t="s">
        <v>1971</v>
      </c>
      <c r="AA206" t="s">
        <v>1972</v>
      </c>
      <c r="AB206" t="s">
        <v>1973</v>
      </c>
      <c r="AC206" t="s">
        <v>1974</v>
      </c>
      <c r="AD206" t="s">
        <v>1975</v>
      </c>
      <c r="AE206" t="s">
        <v>1976</v>
      </c>
      <c r="AF206" t="s">
        <v>1977</v>
      </c>
      <c r="AG206">
        <v>54</v>
      </c>
      <c r="AH206">
        <v>2</v>
      </c>
      <c r="AI206">
        <v>2</v>
      </c>
      <c r="AJ206">
        <v>6</v>
      </c>
      <c r="AK206">
        <v>8</v>
      </c>
      <c r="AL206" t="s">
        <v>93</v>
      </c>
      <c r="AM206" t="s">
        <v>94</v>
      </c>
      <c r="AN206" t="s">
        <v>95</v>
      </c>
      <c r="AO206" t="s">
        <v>74</v>
      </c>
      <c r="AP206" t="s">
        <v>338</v>
      </c>
      <c r="AQ206" t="s">
        <v>74</v>
      </c>
      <c r="AR206" t="s">
        <v>329</v>
      </c>
      <c r="AS206" t="s">
        <v>339</v>
      </c>
      <c r="AT206" t="s">
        <v>460</v>
      </c>
      <c r="AU206">
        <v>2022</v>
      </c>
      <c r="AV206">
        <v>11</v>
      </c>
      <c r="AW206">
        <v>16</v>
      </c>
      <c r="AX206" t="s">
        <v>74</v>
      </c>
      <c r="AY206" t="s">
        <v>74</v>
      </c>
      <c r="AZ206" t="s">
        <v>74</v>
      </c>
      <c r="BA206" t="s">
        <v>74</v>
      </c>
      <c r="BB206" t="s">
        <v>74</v>
      </c>
      <c r="BC206" t="s">
        <v>74</v>
      </c>
      <c r="BD206">
        <v>2425</v>
      </c>
      <c r="BE206" t="s">
        <v>1978</v>
      </c>
      <c r="BF206" t="str">
        <f>HYPERLINK("http://dx.doi.org/10.3390/foods11162425","http://dx.doi.org/10.3390/foods11162425")</f>
        <v>http://dx.doi.org/10.3390/foods11162425</v>
      </c>
      <c r="BG206" t="s">
        <v>74</v>
      </c>
      <c r="BH206" t="s">
        <v>74</v>
      </c>
      <c r="BI206">
        <v>16</v>
      </c>
      <c r="BJ206" t="s">
        <v>342</v>
      </c>
      <c r="BK206" t="s">
        <v>102</v>
      </c>
      <c r="BL206" t="s">
        <v>342</v>
      </c>
      <c r="BM206" t="s">
        <v>1979</v>
      </c>
      <c r="BN206">
        <v>36010426</v>
      </c>
      <c r="BO206" t="s">
        <v>104</v>
      </c>
      <c r="BP206" t="s">
        <v>74</v>
      </c>
      <c r="BQ206" t="s">
        <v>74</v>
      </c>
      <c r="BR206" t="s">
        <v>105</v>
      </c>
      <c r="BS206" t="s">
        <v>1980</v>
      </c>
      <c r="BT206" t="str">
        <f>HYPERLINK("https%3A%2F%2Fwww.webofscience.com%2Fwos%2Fwoscc%2Ffull-record%2FWOS:000845942000001","View Full Record in Web of Science")</f>
        <v>View Full Record in Web of Science</v>
      </c>
    </row>
    <row r="207" spans="1:72" x14ac:dyDescent="0.2">
      <c r="A207" t="s">
        <v>72</v>
      </c>
      <c r="B207" t="s">
        <v>5751</v>
      </c>
      <c r="C207" t="s">
        <v>74</v>
      </c>
      <c r="D207" t="s">
        <v>74</v>
      </c>
      <c r="E207" t="s">
        <v>74</v>
      </c>
      <c r="F207" t="s">
        <v>5752</v>
      </c>
      <c r="G207" t="s">
        <v>74</v>
      </c>
      <c r="H207" t="s">
        <v>74</v>
      </c>
      <c r="I207" t="s">
        <v>5753</v>
      </c>
      <c r="J207" t="s">
        <v>329</v>
      </c>
      <c r="K207" t="s">
        <v>74</v>
      </c>
      <c r="L207" t="s">
        <v>74</v>
      </c>
      <c r="M207" t="s">
        <v>78</v>
      </c>
      <c r="N207" t="s">
        <v>79</v>
      </c>
      <c r="O207" t="s">
        <v>74</v>
      </c>
      <c r="P207" t="s">
        <v>74</v>
      </c>
      <c r="Q207" t="s">
        <v>74</v>
      </c>
      <c r="R207" t="s">
        <v>74</v>
      </c>
      <c r="S207" t="s">
        <v>74</v>
      </c>
      <c r="T207" t="s">
        <v>5754</v>
      </c>
      <c r="U207" t="s">
        <v>5755</v>
      </c>
      <c r="V207" t="s">
        <v>5756</v>
      </c>
      <c r="W207" s="1" t="s">
        <v>5757</v>
      </c>
      <c r="X207" t="s">
        <v>84</v>
      </c>
      <c r="Y207" t="s">
        <v>5758</v>
      </c>
      <c r="Z207" t="s">
        <v>5759</v>
      </c>
      <c r="AA207" t="s">
        <v>1972</v>
      </c>
      <c r="AB207" t="s">
        <v>5760</v>
      </c>
      <c r="AC207" t="s">
        <v>5761</v>
      </c>
      <c r="AD207" t="s">
        <v>5762</v>
      </c>
      <c r="AE207" t="s">
        <v>1976</v>
      </c>
      <c r="AF207" t="s">
        <v>5763</v>
      </c>
      <c r="AG207">
        <v>56</v>
      </c>
      <c r="AH207">
        <v>2</v>
      </c>
      <c r="AI207">
        <v>2</v>
      </c>
      <c r="AJ207">
        <v>3</v>
      </c>
      <c r="AK207">
        <v>13</v>
      </c>
      <c r="AL207" t="s">
        <v>93</v>
      </c>
      <c r="AM207" t="s">
        <v>94</v>
      </c>
      <c r="AN207" t="s">
        <v>95</v>
      </c>
      <c r="AO207" t="s">
        <v>74</v>
      </c>
      <c r="AP207" t="s">
        <v>338</v>
      </c>
      <c r="AQ207" t="s">
        <v>74</v>
      </c>
      <c r="AR207" t="s">
        <v>329</v>
      </c>
      <c r="AS207" t="s">
        <v>339</v>
      </c>
      <c r="AT207" t="s">
        <v>1162</v>
      </c>
      <c r="AU207">
        <v>2022</v>
      </c>
      <c r="AV207">
        <v>11</v>
      </c>
      <c r="AW207">
        <v>5</v>
      </c>
      <c r="AX207" t="s">
        <v>74</v>
      </c>
      <c r="AY207" t="s">
        <v>74</v>
      </c>
      <c r="AZ207" t="s">
        <v>74</v>
      </c>
      <c r="BA207" t="s">
        <v>74</v>
      </c>
      <c r="BB207" t="s">
        <v>74</v>
      </c>
      <c r="BC207" t="s">
        <v>74</v>
      </c>
      <c r="BD207">
        <v>641</v>
      </c>
      <c r="BE207" t="s">
        <v>5764</v>
      </c>
      <c r="BF207" t="str">
        <f>HYPERLINK("http://dx.doi.org/10.3390/foods11050641","http://dx.doi.org/10.3390/foods11050641")</f>
        <v>http://dx.doi.org/10.3390/foods11050641</v>
      </c>
      <c r="BG207" t="s">
        <v>74</v>
      </c>
      <c r="BH207" t="s">
        <v>74</v>
      </c>
      <c r="BI207">
        <v>15</v>
      </c>
      <c r="BJ207" t="s">
        <v>342</v>
      </c>
      <c r="BK207" t="s">
        <v>102</v>
      </c>
      <c r="BL207" t="s">
        <v>342</v>
      </c>
      <c r="BM207" t="s">
        <v>5765</v>
      </c>
      <c r="BN207">
        <v>35267274</v>
      </c>
      <c r="BO207" t="s">
        <v>104</v>
      </c>
      <c r="BP207" t="s">
        <v>74</v>
      </c>
      <c r="BQ207" t="s">
        <v>74</v>
      </c>
      <c r="BR207" t="s">
        <v>105</v>
      </c>
      <c r="BS207" t="s">
        <v>5766</v>
      </c>
      <c r="BT207" t="str">
        <f>HYPERLINK("https%3A%2F%2Fwww.webofscience.com%2Fwos%2Fwoscc%2Ffull-record%2FWOS:000771254600001","View Full Record in Web of Science")</f>
        <v>View Full Record in Web of Science</v>
      </c>
    </row>
    <row r="208" spans="1:72" x14ac:dyDescent="0.2">
      <c r="A208" t="s">
        <v>72</v>
      </c>
      <c r="B208" t="s">
        <v>6084</v>
      </c>
      <c r="C208" t="s">
        <v>74</v>
      </c>
      <c r="D208" t="s">
        <v>74</v>
      </c>
      <c r="E208" t="s">
        <v>74</v>
      </c>
      <c r="F208" t="s">
        <v>6085</v>
      </c>
      <c r="G208" t="s">
        <v>74</v>
      </c>
      <c r="H208" t="s">
        <v>74</v>
      </c>
      <c r="I208" t="s">
        <v>6086</v>
      </c>
      <c r="J208" t="s">
        <v>6087</v>
      </c>
      <c r="K208" t="s">
        <v>74</v>
      </c>
      <c r="L208" t="s">
        <v>74</v>
      </c>
      <c r="M208" t="s">
        <v>78</v>
      </c>
      <c r="N208" t="s">
        <v>79</v>
      </c>
      <c r="O208" t="s">
        <v>74</v>
      </c>
      <c r="P208" t="s">
        <v>74</v>
      </c>
      <c r="Q208" t="s">
        <v>74</v>
      </c>
      <c r="R208" t="s">
        <v>74</v>
      </c>
      <c r="S208" t="s">
        <v>74</v>
      </c>
      <c r="T208" t="s">
        <v>6088</v>
      </c>
      <c r="U208" t="s">
        <v>6089</v>
      </c>
      <c r="V208" t="s">
        <v>6090</v>
      </c>
      <c r="W208" s="1" t="s">
        <v>6091</v>
      </c>
      <c r="X208" t="s">
        <v>6092</v>
      </c>
      <c r="Y208" t="s">
        <v>6093</v>
      </c>
      <c r="Z208" t="s">
        <v>6094</v>
      </c>
      <c r="AA208" t="s">
        <v>6095</v>
      </c>
      <c r="AB208" t="s">
        <v>517</v>
      </c>
      <c r="AC208" t="s">
        <v>74</v>
      </c>
      <c r="AD208" t="s">
        <v>74</v>
      </c>
      <c r="AE208" t="s">
        <v>74</v>
      </c>
      <c r="AF208" t="s">
        <v>6096</v>
      </c>
      <c r="AG208">
        <v>141</v>
      </c>
      <c r="AH208">
        <v>0</v>
      </c>
      <c r="AI208">
        <v>0</v>
      </c>
      <c r="AJ208">
        <v>5</v>
      </c>
      <c r="AK208">
        <v>6</v>
      </c>
      <c r="AL208" t="s">
        <v>2042</v>
      </c>
      <c r="AM208" t="s">
        <v>2043</v>
      </c>
      <c r="AN208" t="s">
        <v>2044</v>
      </c>
      <c r="AO208" t="s">
        <v>74</v>
      </c>
      <c r="AP208" t="s">
        <v>6097</v>
      </c>
      <c r="AQ208" t="s">
        <v>74</v>
      </c>
      <c r="AR208" t="s">
        <v>6098</v>
      </c>
      <c r="AS208" t="s">
        <v>6099</v>
      </c>
      <c r="AT208" t="s">
        <v>6100</v>
      </c>
      <c r="AU208">
        <v>2022</v>
      </c>
      <c r="AV208">
        <v>13</v>
      </c>
      <c r="AW208" t="s">
        <v>74</v>
      </c>
      <c r="AX208" t="s">
        <v>74</v>
      </c>
      <c r="AY208" t="s">
        <v>74</v>
      </c>
      <c r="AZ208" t="s">
        <v>74</v>
      </c>
      <c r="BA208" t="s">
        <v>74</v>
      </c>
      <c r="BB208" t="s">
        <v>74</v>
      </c>
      <c r="BC208" t="s">
        <v>74</v>
      </c>
      <c r="BD208">
        <v>820209</v>
      </c>
      <c r="BE208" t="s">
        <v>6101</v>
      </c>
      <c r="BF208" t="str">
        <f>HYPERLINK("http://dx.doi.org/10.3389/fgene.2022.820209","http://dx.doi.org/10.3389/fgene.2022.820209")</f>
        <v>http://dx.doi.org/10.3389/fgene.2022.820209</v>
      </c>
      <c r="BG208" t="s">
        <v>74</v>
      </c>
      <c r="BH208" t="s">
        <v>74</v>
      </c>
      <c r="BI208">
        <v>17</v>
      </c>
      <c r="BJ208" t="s">
        <v>6102</v>
      </c>
      <c r="BK208" t="s">
        <v>102</v>
      </c>
      <c r="BL208" t="s">
        <v>6102</v>
      </c>
      <c r="BM208" t="s">
        <v>6103</v>
      </c>
      <c r="BN208">
        <v>35281828</v>
      </c>
      <c r="BO208" t="s">
        <v>104</v>
      </c>
      <c r="BP208" t="s">
        <v>74</v>
      </c>
      <c r="BQ208" t="s">
        <v>74</v>
      </c>
      <c r="BR208" t="s">
        <v>105</v>
      </c>
      <c r="BS208" t="s">
        <v>6104</v>
      </c>
      <c r="BT208" t="str">
        <f>HYPERLINK("https%3A%2F%2Fwww.webofscience.com%2Fwos%2Fwoscc%2Ffull-record%2FWOS:000766894400001","View Full Record in Web of Science")</f>
        <v>View Full Record in Web of Science</v>
      </c>
    </row>
    <row r="209" spans="1:72" x14ac:dyDescent="0.2">
      <c r="A209" t="s">
        <v>72</v>
      </c>
      <c r="B209" t="s">
        <v>5198</v>
      </c>
      <c r="C209" t="s">
        <v>74</v>
      </c>
      <c r="D209" t="s">
        <v>74</v>
      </c>
      <c r="E209" t="s">
        <v>74</v>
      </c>
      <c r="F209" t="s">
        <v>5199</v>
      </c>
      <c r="G209" t="s">
        <v>74</v>
      </c>
      <c r="H209" t="s">
        <v>74</v>
      </c>
      <c r="I209" t="s">
        <v>5200</v>
      </c>
      <c r="J209" t="s">
        <v>5201</v>
      </c>
      <c r="K209" t="s">
        <v>74</v>
      </c>
      <c r="L209" t="s">
        <v>74</v>
      </c>
      <c r="M209" t="s">
        <v>78</v>
      </c>
      <c r="N209" t="s">
        <v>79</v>
      </c>
      <c r="O209" t="s">
        <v>74</v>
      </c>
      <c r="P209" t="s">
        <v>74</v>
      </c>
      <c r="Q209" t="s">
        <v>74</v>
      </c>
      <c r="R209" t="s">
        <v>74</v>
      </c>
      <c r="S209" t="s">
        <v>74</v>
      </c>
      <c r="T209" t="s">
        <v>5202</v>
      </c>
      <c r="U209" t="s">
        <v>74</v>
      </c>
      <c r="V209" t="s">
        <v>5203</v>
      </c>
      <c r="W209" s="1" t="s">
        <v>5204</v>
      </c>
      <c r="X209" t="s">
        <v>4565</v>
      </c>
      <c r="Y209" t="s">
        <v>5205</v>
      </c>
      <c r="Z209" t="s">
        <v>5206</v>
      </c>
      <c r="AA209" t="s">
        <v>74</v>
      </c>
      <c r="AB209" t="s">
        <v>74</v>
      </c>
      <c r="AC209" t="s">
        <v>74</v>
      </c>
      <c r="AD209" t="s">
        <v>74</v>
      </c>
      <c r="AE209" t="s">
        <v>74</v>
      </c>
      <c r="AF209" t="s">
        <v>5207</v>
      </c>
      <c r="AG209">
        <v>28</v>
      </c>
      <c r="AH209">
        <v>0</v>
      </c>
      <c r="AI209">
        <v>0</v>
      </c>
      <c r="AJ209">
        <v>1</v>
      </c>
      <c r="AK209">
        <v>2</v>
      </c>
      <c r="AL209" t="s">
        <v>5208</v>
      </c>
      <c r="AM209" t="s">
        <v>316</v>
      </c>
      <c r="AN209" t="s">
        <v>5209</v>
      </c>
      <c r="AO209" t="s">
        <v>5210</v>
      </c>
      <c r="AP209" t="s">
        <v>5211</v>
      </c>
      <c r="AQ209" t="s">
        <v>74</v>
      </c>
      <c r="AR209" t="s">
        <v>5212</v>
      </c>
      <c r="AS209" t="s">
        <v>5213</v>
      </c>
      <c r="AT209" t="s">
        <v>1527</v>
      </c>
      <c r="AU209">
        <v>2022</v>
      </c>
      <c r="AV209">
        <v>25</v>
      </c>
      <c r="AW209">
        <v>49</v>
      </c>
      <c r="AX209" t="s">
        <v>74</v>
      </c>
      <c r="AY209" t="s">
        <v>74</v>
      </c>
      <c r="AZ209" t="s">
        <v>74</v>
      </c>
      <c r="BA209" t="s">
        <v>74</v>
      </c>
      <c r="BB209">
        <v>49</v>
      </c>
      <c r="BC209">
        <v>63</v>
      </c>
      <c r="BD209" t="s">
        <v>74</v>
      </c>
      <c r="BE209" t="s">
        <v>5214</v>
      </c>
      <c r="BF209" t="str">
        <f>HYPERLINK("http://dx.doi.org/10.18359/prole.5760","http://dx.doi.org/10.18359/prole.5760")</f>
        <v>http://dx.doi.org/10.18359/prole.5760</v>
      </c>
      <c r="BG209" t="s">
        <v>74</v>
      </c>
      <c r="BH209" t="s">
        <v>74</v>
      </c>
      <c r="BI209">
        <v>15</v>
      </c>
      <c r="BJ209" t="s">
        <v>3205</v>
      </c>
      <c r="BK209" t="s">
        <v>187</v>
      </c>
      <c r="BL209" t="s">
        <v>3206</v>
      </c>
      <c r="BM209" t="s">
        <v>5215</v>
      </c>
      <c r="BN209" t="s">
        <v>74</v>
      </c>
      <c r="BO209" t="s">
        <v>1111</v>
      </c>
      <c r="BP209" t="s">
        <v>74</v>
      </c>
      <c r="BQ209" t="s">
        <v>74</v>
      </c>
      <c r="BR209" t="s">
        <v>105</v>
      </c>
      <c r="BS209" t="s">
        <v>5216</v>
      </c>
      <c r="BT209" t="str">
        <f>HYPERLINK("https%3A%2F%2Fwww.webofscience.com%2Fwos%2Fwoscc%2Ffull-record%2FWOS:000822399000004","View Full Record in Web of Science")</f>
        <v>View Full Record in Web of Science</v>
      </c>
    </row>
    <row r="210" spans="1:72" x14ac:dyDescent="0.2">
      <c r="A210" t="s">
        <v>72</v>
      </c>
      <c r="B210" t="s">
        <v>3230</v>
      </c>
      <c r="C210" t="s">
        <v>74</v>
      </c>
      <c r="D210" t="s">
        <v>74</v>
      </c>
      <c r="E210" t="s">
        <v>74</v>
      </c>
      <c r="F210" t="s">
        <v>3231</v>
      </c>
      <c r="G210" t="s">
        <v>74</v>
      </c>
      <c r="H210" t="s">
        <v>74</v>
      </c>
      <c r="I210" t="s">
        <v>3232</v>
      </c>
      <c r="J210" t="s">
        <v>2804</v>
      </c>
      <c r="K210" t="s">
        <v>74</v>
      </c>
      <c r="L210" t="s">
        <v>74</v>
      </c>
      <c r="M210" t="s">
        <v>78</v>
      </c>
      <c r="N210" t="s">
        <v>79</v>
      </c>
      <c r="O210" t="s">
        <v>74</v>
      </c>
      <c r="P210" t="s">
        <v>74</v>
      </c>
      <c r="Q210" t="s">
        <v>74</v>
      </c>
      <c r="R210" t="s">
        <v>74</v>
      </c>
      <c r="S210" t="s">
        <v>74</v>
      </c>
      <c r="T210" t="s">
        <v>3233</v>
      </c>
      <c r="U210" t="s">
        <v>74</v>
      </c>
      <c r="V210" t="s">
        <v>3234</v>
      </c>
      <c r="W210" s="1" t="s">
        <v>3235</v>
      </c>
      <c r="X210" t="s">
        <v>3236</v>
      </c>
      <c r="Y210" t="s">
        <v>3237</v>
      </c>
      <c r="Z210" t="s">
        <v>3238</v>
      </c>
      <c r="AA210" t="s">
        <v>74</v>
      </c>
      <c r="AB210" t="s">
        <v>74</v>
      </c>
      <c r="AC210" t="s">
        <v>74</v>
      </c>
      <c r="AD210" t="s">
        <v>74</v>
      </c>
      <c r="AE210" t="s">
        <v>74</v>
      </c>
      <c r="AF210" t="s">
        <v>3239</v>
      </c>
      <c r="AG210">
        <v>40</v>
      </c>
      <c r="AH210">
        <v>0</v>
      </c>
      <c r="AI210">
        <v>0</v>
      </c>
      <c r="AJ210">
        <v>0</v>
      </c>
      <c r="AK210">
        <v>2</v>
      </c>
      <c r="AL210" t="s">
        <v>2812</v>
      </c>
      <c r="AM210" t="s">
        <v>316</v>
      </c>
      <c r="AN210" t="s">
        <v>2813</v>
      </c>
      <c r="AO210" t="s">
        <v>2814</v>
      </c>
      <c r="AP210" t="s">
        <v>2815</v>
      </c>
      <c r="AQ210" t="s">
        <v>74</v>
      </c>
      <c r="AR210" t="s">
        <v>2816</v>
      </c>
      <c r="AS210" t="s">
        <v>2817</v>
      </c>
      <c r="AT210" t="s">
        <v>1487</v>
      </c>
      <c r="AU210">
        <v>2022</v>
      </c>
      <c r="AV210">
        <v>24</v>
      </c>
      <c r="AW210">
        <v>2</v>
      </c>
      <c r="AX210" t="s">
        <v>74</v>
      </c>
      <c r="AY210" t="s">
        <v>74</v>
      </c>
      <c r="AZ210" t="s">
        <v>74</v>
      </c>
      <c r="BA210" t="s">
        <v>74</v>
      </c>
      <c r="BB210">
        <v>187</v>
      </c>
      <c r="BC210">
        <v>202</v>
      </c>
      <c r="BD210" t="s">
        <v>74</v>
      </c>
      <c r="BE210" t="s">
        <v>3240</v>
      </c>
      <c r="BF210" t="str">
        <f>HYPERLINK("http://dx.doi.org/10.14483/22487085.17827","http://dx.doi.org/10.14483/22487085.17827")</f>
        <v>http://dx.doi.org/10.14483/22487085.17827</v>
      </c>
      <c r="BG210" t="s">
        <v>74</v>
      </c>
      <c r="BH210" t="s">
        <v>74</v>
      </c>
      <c r="BI210">
        <v>16</v>
      </c>
      <c r="BJ210" t="s">
        <v>2798</v>
      </c>
      <c r="BK210" t="s">
        <v>187</v>
      </c>
      <c r="BL210" t="s">
        <v>2798</v>
      </c>
      <c r="BM210" t="s">
        <v>3241</v>
      </c>
      <c r="BN210" t="s">
        <v>74</v>
      </c>
      <c r="BO210" t="s">
        <v>190</v>
      </c>
      <c r="BP210" t="s">
        <v>74</v>
      </c>
      <c r="BQ210" t="s">
        <v>74</v>
      </c>
      <c r="BR210" t="s">
        <v>105</v>
      </c>
      <c r="BS210" t="s">
        <v>3242</v>
      </c>
      <c r="BT210" t="str">
        <f>HYPERLINK("https%3A%2F%2Fwww.webofscience.com%2Fwos%2Fwoscc%2Ffull-record%2FWOS:000852046800003","View Full Record in Web of Science")</f>
        <v>View Full Record in Web of Science</v>
      </c>
    </row>
    <row r="211" spans="1:72" x14ac:dyDescent="0.2">
      <c r="A211" t="s">
        <v>72</v>
      </c>
      <c r="B211" t="s">
        <v>1849</v>
      </c>
      <c r="C211" t="s">
        <v>74</v>
      </c>
      <c r="D211" t="s">
        <v>74</v>
      </c>
      <c r="E211" t="s">
        <v>74</v>
      </c>
      <c r="F211" t="s">
        <v>1850</v>
      </c>
      <c r="G211" t="s">
        <v>74</v>
      </c>
      <c r="H211" t="s">
        <v>74</v>
      </c>
      <c r="I211" t="s">
        <v>1851</v>
      </c>
      <c r="J211" t="s">
        <v>1852</v>
      </c>
      <c r="K211" t="s">
        <v>74</v>
      </c>
      <c r="L211" t="s">
        <v>74</v>
      </c>
      <c r="M211" t="s">
        <v>1517</v>
      </c>
      <c r="N211" t="s">
        <v>79</v>
      </c>
      <c r="O211" t="s">
        <v>74</v>
      </c>
      <c r="P211" t="s">
        <v>74</v>
      </c>
      <c r="Q211" t="s">
        <v>74</v>
      </c>
      <c r="R211" t="s">
        <v>74</v>
      </c>
      <c r="S211" t="s">
        <v>74</v>
      </c>
      <c r="T211" t="s">
        <v>74</v>
      </c>
      <c r="U211" t="s">
        <v>74</v>
      </c>
      <c r="V211" t="s">
        <v>74</v>
      </c>
      <c r="W211" s="1" t="s">
        <v>1853</v>
      </c>
      <c r="X211" t="s">
        <v>284</v>
      </c>
      <c r="Y211" t="s">
        <v>1854</v>
      </c>
      <c r="Z211" t="s">
        <v>1855</v>
      </c>
      <c r="AA211" t="s">
        <v>74</v>
      </c>
      <c r="AB211" t="s">
        <v>74</v>
      </c>
      <c r="AC211" t="s">
        <v>74</v>
      </c>
      <c r="AD211" t="s">
        <v>74</v>
      </c>
      <c r="AE211" t="s">
        <v>74</v>
      </c>
      <c r="AF211" t="s">
        <v>1856</v>
      </c>
      <c r="AG211">
        <v>28</v>
      </c>
      <c r="AH211">
        <v>0</v>
      </c>
      <c r="AI211">
        <v>0</v>
      </c>
      <c r="AJ211">
        <v>0</v>
      </c>
      <c r="AK211">
        <v>0</v>
      </c>
      <c r="AL211" t="s">
        <v>1857</v>
      </c>
      <c r="AM211" t="s">
        <v>823</v>
      </c>
      <c r="AN211" t="s">
        <v>1858</v>
      </c>
      <c r="AO211" t="s">
        <v>1859</v>
      </c>
      <c r="AP211" t="s">
        <v>74</v>
      </c>
      <c r="AQ211" t="s">
        <v>74</v>
      </c>
      <c r="AR211" t="s">
        <v>1860</v>
      </c>
      <c r="AS211" t="s">
        <v>1861</v>
      </c>
      <c r="AT211" t="s">
        <v>74</v>
      </c>
      <c r="AU211">
        <v>2023</v>
      </c>
      <c r="AV211">
        <v>14</v>
      </c>
      <c r="AW211">
        <v>4</v>
      </c>
      <c r="AX211" t="s">
        <v>74</v>
      </c>
      <c r="AY211" t="s">
        <v>74</v>
      </c>
      <c r="AZ211" t="s">
        <v>74</v>
      </c>
      <c r="BA211" t="s">
        <v>74</v>
      </c>
      <c r="BB211">
        <v>5717</v>
      </c>
      <c r="BC211">
        <v>5735</v>
      </c>
      <c r="BD211" t="s">
        <v>74</v>
      </c>
      <c r="BE211" t="s">
        <v>1862</v>
      </c>
      <c r="BF211" t="str">
        <f>HYPERLINK("http://dx.doi.org/10.7769/gesec.v14i4.2017","http://dx.doi.org/10.7769/gesec.v14i4.2017")</f>
        <v>http://dx.doi.org/10.7769/gesec.v14i4.2017</v>
      </c>
      <c r="BG211" t="s">
        <v>74</v>
      </c>
      <c r="BH211" t="s">
        <v>74</v>
      </c>
      <c r="BI211">
        <v>19</v>
      </c>
      <c r="BJ211" t="s">
        <v>934</v>
      </c>
      <c r="BK211" t="s">
        <v>187</v>
      </c>
      <c r="BL211" t="s">
        <v>935</v>
      </c>
      <c r="BM211" t="s">
        <v>1863</v>
      </c>
      <c r="BN211" t="s">
        <v>74</v>
      </c>
      <c r="BO211" t="s">
        <v>190</v>
      </c>
      <c r="BP211" t="s">
        <v>74</v>
      </c>
      <c r="BQ211" t="s">
        <v>74</v>
      </c>
      <c r="BR211" t="s">
        <v>105</v>
      </c>
      <c r="BS211" t="s">
        <v>1864</v>
      </c>
      <c r="BT211" t="str">
        <f>HYPERLINK("https%3A%2F%2Fwww.webofscience.com%2Fwos%2Fwoscc%2Ffull-record%2FWOS:000982356400005","View Full Record in Web of Science")</f>
        <v>View Full Record in Web of Science</v>
      </c>
    </row>
    <row r="212" spans="1:72" x14ac:dyDescent="0.2">
      <c r="A212" t="s">
        <v>72</v>
      </c>
      <c r="B212" t="s">
        <v>2782</v>
      </c>
      <c r="C212" t="s">
        <v>74</v>
      </c>
      <c r="D212" t="s">
        <v>74</v>
      </c>
      <c r="E212" t="s">
        <v>74</v>
      </c>
      <c r="F212" t="s">
        <v>2783</v>
      </c>
      <c r="G212" t="s">
        <v>74</v>
      </c>
      <c r="H212" t="s">
        <v>74</v>
      </c>
      <c r="I212" t="s">
        <v>2784</v>
      </c>
      <c r="J212" t="s">
        <v>2785</v>
      </c>
      <c r="K212" t="s">
        <v>74</v>
      </c>
      <c r="L212" t="s">
        <v>74</v>
      </c>
      <c r="M212" t="s">
        <v>1517</v>
      </c>
      <c r="N212" t="s">
        <v>79</v>
      </c>
      <c r="O212" t="s">
        <v>74</v>
      </c>
      <c r="P212" t="s">
        <v>74</v>
      </c>
      <c r="Q212" t="s">
        <v>74</v>
      </c>
      <c r="R212" t="s">
        <v>74</v>
      </c>
      <c r="S212" t="s">
        <v>74</v>
      </c>
      <c r="T212" t="s">
        <v>2786</v>
      </c>
      <c r="U212" t="s">
        <v>74</v>
      </c>
      <c r="V212" t="s">
        <v>2787</v>
      </c>
      <c r="W212" s="1" t="s">
        <v>2788</v>
      </c>
      <c r="X212" t="s">
        <v>142</v>
      </c>
      <c r="Y212" t="s">
        <v>2789</v>
      </c>
      <c r="Z212" t="s">
        <v>2790</v>
      </c>
      <c r="AA212" t="s">
        <v>74</v>
      </c>
      <c r="AB212" t="s">
        <v>74</v>
      </c>
      <c r="AC212" t="s">
        <v>74</v>
      </c>
      <c r="AD212" t="s">
        <v>74</v>
      </c>
      <c r="AE212" t="s">
        <v>74</v>
      </c>
      <c r="AF212" t="s">
        <v>2791</v>
      </c>
      <c r="AG212">
        <v>27</v>
      </c>
      <c r="AH212">
        <v>0</v>
      </c>
      <c r="AI212">
        <v>0</v>
      </c>
      <c r="AJ212">
        <v>0</v>
      </c>
      <c r="AK212">
        <v>0</v>
      </c>
      <c r="AL212" t="s">
        <v>1930</v>
      </c>
      <c r="AM212" t="s">
        <v>1931</v>
      </c>
      <c r="AN212" t="s">
        <v>1932</v>
      </c>
      <c r="AO212" t="s">
        <v>2792</v>
      </c>
      <c r="AP212" t="s">
        <v>2793</v>
      </c>
      <c r="AQ212" t="s">
        <v>74</v>
      </c>
      <c r="AR212" t="s">
        <v>2794</v>
      </c>
      <c r="AS212" t="s">
        <v>2795</v>
      </c>
      <c r="AT212" t="s">
        <v>74</v>
      </c>
      <c r="AU212">
        <v>2022</v>
      </c>
      <c r="AV212">
        <v>39</v>
      </c>
      <c r="AW212" t="s">
        <v>74</v>
      </c>
      <c r="AX212" t="s">
        <v>74</v>
      </c>
      <c r="AY212" t="s">
        <v>74</v>
      </c>
      <c r="AZ212" t="s">
        <v>74</v>
      </c>
      <c r="BA212" t="s">
        <v>74</v>
      </c>
      <c r="BB212" t="s">
        <v>74</v>
      </c>
      <c r="BC212" t="s">
        <v>74</v>
      </c>
      <c r="BD212" t="s">
        <v>2796</v>
      </c>
      <c r="BE212" t="s">
        <v>2797</v>
      </c>
      <c r="BF212" t="str">
        <f>HYPERLINK("http://dx.doi.org/10.19053/0121053X.n39.2022.11739","http://dx.doi.org/10.19053/0121053X.n39.2022.11739")</f>
        <v>http://dx.doi.org/10.19053/0121053X.n39.2022.11739</v>
      </c>
      <c r="BG212" t="s">
        <v>74</v>
      </c>
      <c r="BH212" t="s">
        <v>74</v>
      </c>
      <c r="BI212">
        <v>21</v>
      </c>
      <c r="BJ212" t="s">
        <v>2798</v>
      </c>
      <c r="BK212" t="s">
        <v>187</v>
      </c>
      <c r="BL212" t="s">
        <v>2798</v>
      </c>
      <c r="BM212" t="s">
        <v>2799</v>
      </c>
      <c r="BN212" t="s">
        <v>74</v>
      </c>
      <c r="BO212" t="s">
        <v>190</v>
      </c>
      <c r="BP212" t="s">
        <v>74</v>
      </c>
      <c r="BQ212" t="s">
        <v>74</v>
      </c>
      <c r="BR212" t="s">
        <v>105</v>
      </c>
      <c r="BS212" t="s">
        <v>2800</v>
      </c>
      <c r="BT212" t="str">
        <f>HYPERLINK("https%3A%2F%2Fwww.webofscience.com%2Fwos%2Fwoscc%2Ffull-record%2FWOS:000757448900002","View Full Record in Web of Science")</f>
        <v>View Full Record in Web of Science</v>
      </c>
    </row>
    <row r="213" spans="1:72" x14ac:dyDescent="0.2">
      <c r="A213" t="s">
        <v>72</v>
      </c>
      <c r="B213" t="s">
        <v>3634</v>
      </c>
      <c r="C213" t="s">
        <v>74</v>
      </c>
      <c r="D213" t="s">
        <v>74</v>
      </c>
      <c r="E213" t="s">
        <v>74</v>
      </c>
      <c r="F213" t="s">
        <v>3635</v>
      </c>
      <c r="G213" t="s">
        <v>74</v>
      </c>
      <c r="H213" t="s">
        <v>74</v>
      </c>
      <c r="I213" t="s">
        <v>3636</v>
      </c>
      <c r="J213" t="s">
        <v>3637</v>
      </c>
      <c r="K213" t="s">
        <v>74</v>
      </c>
      <c r="L213" t="s">
        <v>74</v>
      </c>
      <c r="M213" t="s">
        <v>78</v>
      </c>
      <c r="N213" t="s">
        <v>79</v>
      </c>
      <c r="O213" t="s">
        <v>74</v>
      </c>
      <c r="P213" t="s">
        <v>74</v>
      </c>
      <c r="Q213" t="s">
        <v>74</v>
      </c>
      <c r="R213" t="s">
        <v>74</v>
      </c>
      <c r="S213" t="s">
        <v>74</v>
      </c>
      <c r="T213" t="s">
        <v>74</v>
      </c>
      <c r="U213" t="s">
        <v>3638</v>
      </c>
      <c r="V213" t="s">
        <v>3639</v>
      </c>
      <c r="W213" s="1" t="s">
        <v>3640</v>
      </c>
      <c r="X213" t="s">
        <v>3641</v>
      </c>
      <c r="Y213" t="s">
        <v>3642</v>
      </c>
      <c r="Z213" t="s">
        <v>74</v>
      </c>
      <c r="AA213" t="s">
        <v>3643</v>
      </c>
      <c r="AB213" t="s">
        <v>3644</v>
      </c>
      <c r="AC213" t="s">
        <v>3645</v>
      </c>
      <c r="AD213" t="s">
        <v>3646</v>
      </c>
      <c r="AE213" t="s">
        <v>3647</v>
      </c>
      <c r="AF213" t="s">
        <v>3648</v>
      </c>
      <c r="AG213">
        <v>59</v>
      </c>
      <c r="AH213">
        <v>0</v>
      </c>
      <c r="AI213">
        <v>0</v>
      </c>
      <c r="AJ213">
        <v>6</v>
      </c>
      <c r="AK213">
        <v>6</v>
      </c>
      <c r="AL213" t="s">
        <v>3257</v>
      </c>
      <c r="AM213" t="s">
        <v>3258</v>
      </c>
      <c r="AN213" t="s">
        <v>3259</v>
      </c>
      <c r="AO213" t="s">
        <v>3649</v>
      </c>
      <c r="AP213" t="s">
        <v>3650</v>
      </c>
      <c r="AQ213" t="s">
        <v>74</v>
      </c>
      <c r="AR213" t="s">
        <v>3651</v>
      </c>
      <c r="AS213" t="s">
        <v>3652</v>
      </c>
      <c r="AT213" t="s">
        <v>3653</v>
      </c>
      <c r="AU213">
        <v>2022</v>
      </c>
      <c r="AV213">
        <v>106</v>
      </c>
      <c r="AW213">
        <v>23</v>
      </c>
      <c r="AX213" t="s">
        <v>74</v>
      </c>
      <c r="AY213" t="s">
        <v>74</v>
      </c>
      <c r="AZ213" t="s">
        <v>74</v>
      </c>
      <c r="BA213" t="s">
        <v>74</v>
      </c>
      <c r="BB213" t="s">
        <v>74</v>
      </c>
      <c r="BC213" t="s">
        <v>74</v>
      </c>
      <c r="BD213">
        <v>235430</v>
      </c>
      <c r="BE213" t="s">
        <v>3654</v>
      </c>
      <c r="BF213" t="str">
        <f>HYPERLINK("http://dx.doi.org/10.1103/PhysRevB.106.235430","http://dx.doi.org/10.1103/PhysRevB.106.235430")</f>
        <v>http://dx.doi.org/10.1103/PhysRevB.106.235430</v>
      </c>
      <c r="BG213" t="s">
        <v>74</v>
      </c>
      <c r="BH213" t="s">
        <v>74</v>
      </c>
      <c r="BI213">
        <v>9</v>
      </c>
      <c r="BJ213" t="s">
        <v>3655</v>
      </c>
      <c r="BK213" t="s">
        <v>102</v>
      </c>
      <c r="BL213" t="s">
        <v>3656</v>
      </c>
      <c r="BM213" t="s">
        <v>3657</v>
      </c>
      <c r="BN213" t="s">
        <v>74</v>
      </c>
      <c r="BO213" t="s">
        <v>1082</v>
      </c>
      <c r="BP213" t="s">
        <v>74</v>
      </c>
      <c r="BQ213" t="s">
        <v>74</v>
      </c>
      <c r="BR213" t="s">
        <v>105</v>
      </c>
      <c r="BS213" t="s">
        <v>3658</v>
      </c>
      <c r="BT213" t="str">
        <f>HYPERLINK("https%3A%2F%2Fwww.webofscience.com%2Fwos%2Fwoscc%2Ffull-record%2FWOS:000906922700002","View Full Record in Web of Science")</f>
        <v>View Full Record in Web of Science</v>
      </c>
    </row>
    <row r="214" spans="1:72" x14ac:dyDescent="0.2">
      <c r="A214" t="s">
        <v>72</v>
      </c>
      <c r="B214" t="s">
        <v>5472</v>
      </c>
      <c r="C214" t="s">
        <v>74</v>
      </c>
      <c r="D214" t="s">
        <v>74</v>
      </c>
      <c r="E214" t="s">
        <v>74</v>
      </c>
      <c r="F214" t="s">
        <v>5473</v>
      </c>
      <c r="G214" t="s">
        <v>74</v>
      </c>
      <c r="H214" t="s">
        <v>74</v>
      </c>
      <c r="I214" t="s">
        <v>5474</v>
      </c>
      <c r="J214" t="s">
        <v>5475</v>
      </c>
      <c r="K214" t="s">
        <v>74</v>
      </c>
      <c r="L214" t="s">
        <v>74</v>
      </c>
      <c r="M214" t="s">
        <v>78</v>
      </c>
      <c r="N214" t="s">
        <v>79</v>
      </c>
      <c r="O214" t="s">
        <v>74</v>
      </c>
      <c r="P214" t="s">
        <v>74</v>
      </c>
      <c r="Q214" t="s">
        <v>74</v>
      </c>
      <c r="R214" t="s">
        <v>74</v>
      </c>
      <c r="S214" t="s">
        <v>74</v>
      </c>
      <c r="T214" t="s">
        <v>5476</v>
      </c>
      <c r="U214" t="s">
        <v>5477</v>
      </c>
      <c r="V214" t="s">
        <v>5478</v>
      </c>
      <c r="W214" s="1" t="s">
        <v>5479</v>
      </c>
      <c r="X214" t="s">
        <v>5480</v>
      </c>
      <c r="Y214" t="s">
        <v>5481</v>
      </c>
      <c r="Z214" t="s">
        <v>5482</v>
      </c>
      <c r="AA214" t="s">
        <v>5483</v>
      </c>
      <c r="AB214" t="s">
        <v>5484</v>
      </c>
      <c r="AC214" t="s">
        <v>5485</v>
      </c>
      <c r="AD214" t="s">
        <v>5486</v>
      </c>
      <c r="AE214" t="s">
        <v>5487</v>
      </c>
      <c r="AF214" t="s">
        <v>5488</v>
      </c>
      <c r="AG214">
        <v>32</v>
      </c>
      <c r="AH214">
        <v>1</v>
      </c>
      <c r="AI214">
        <v>1</v>
      </c>
      <c r="AJ214">
        <v>2</v>
      </c>
      <c r="AK214">
        <v>2</v>
      </c>
      <c r="AL214" t="s">
        <v>150</v>
      </c>
      <c r="AM214" t="s">
        <v>151</v>
      </c>
      <c r="AN214" t="s">
        <v>152</v>
      </c>
      <c r="AO214" t="s">
        <v>5489</v>
      </c>
      <c r="AP214" t="s">
        <v>5490</v>
      </c>
      <c r="AQ214" t="s">
        <v>74</v>
      </c>
      <c r="AR214" t="s">
        <v>5491</v>
      </c>
      <c r="AS214" t="s">
        <v>5492</v>
      </c>
      <c r="AT214" t="s">
        <v>99</v>
      </c>
      <c r="AU214">
        <v>2023</v>
      </c>
      <c r="AV214">
        <v>28</v>
      </c>
      <c r="AW214">
        <v>1</v>
      </c>
      <c r="AX214" t="s">
        <v>74</v>
      </c>
      <c r="AY214" t="s">
        <v>74</v>
      </c>
      <c r="AZ214" t="s">
        <v>74</v>
      </c>
      <c r="BA214" t="s">
        <v>74</v>
      </c>
      <c r="BB214">
        <v>321</v>
      </c>
      <c r="BC214">
        <v>341</v>
      </c>
      <c r="BD214" t="s">
        <v>74</v>
      </c>
      <c r="BE214" t="s">
        <v>5493</v>
      </c>
      <c r="BF214" t="str">
        <f>HYPERLINK("http://dx.doi.org/10.1007/s10639-022-11172-8","http://dx.doi.org/10.1007/s10639-022-11172-8")</f>
        <v>http://dx.doi.org/10.1007/s10639-022-11172-8</v>
      </c>
      <c r="BG214" t="s">
        <v>74</v>
      </c>
      <c r="BH214" t="s">
        <v>626</v>
      </c>
      <c r="BI214">
        <v>21</v>
      </c>
      <c r="BJ214" t="s">
        <v>963</v>
      </c>
      <c r="BK214" t="s">
        <v>4335</v>
      </c>
      <c r="BL214" t="s">
        <v>963</v>
      </c>
      <c r="BM214" t="s">
        <v>5494</v>
      </c>
      <c r="BN214" t="s">
        <v>74</v>
      </c>
      <c r="BO214" t="s">
        <v>74</v>
      </c>
      <c r="BP214" t="s">
        <v>74</v>
      </c>
      <c r="BQ214" t="s">
        <v>74</v>
      </c>
      <c r="BR214" t="s">
        <v>105</v>
      </c>
      <c r="BS214" t="s">
        <v>5495</v>
      </c>
      <c r="BT214" t="str">
        <f>HYPERLINK("https%3A%2F%2Fwww.webofscience.com%2Fwos%2Fwoscc%2Ffull-record%2FWOS:000818610100005","View Full Record in Web of Science")</f>
        <v>View Full Record in Web of Science</v>
      </c>
    </row>
    <row r="215" spans="1:72" x14ac:dyDescent="0.2">
      <c r="A215" t="s">
        <v>72</v>
      </c>
      <c r="B215" t="s">
        <v>5868</v>
      </c>
      <c r="C215" t="s">
        <v>74</v>
      </c>
      <c r="D215" t="s">
        <v>74</v>
      </c>
      <c r="E215" t="s">
        <v>74</v>
      </c>
      <c r="F215" t="s">
        <v>5869</v>
      </c>
      <c r="G215" t="s">
        <v>74</v>
      </c>
      <c r="H215" t="s">
        <v>74</v>
      </c>
      <c r="I215" t="s">
        <v>5870</v>
      </c>
      <c r="J215" t="s">
        <v>5871</v>
      </c>
      <c r="K215" t="s">
        <v>74</v>
      </c>
      <c r="L215" t="s">
        <v>74</v>
      </c>
      <c r="M215" t="s">
        <v>78</v>
      </c>
      <c r="N215" t="s">
        <v>79</v>
      </c>
      <c r="O215" t="s">
        <v>74</v>
      </c>
      <c r="P215" t="s">
        <v>74</v>
      </c>
      <c r="Q215" t="s">
        <v>74</v>
      </c>
      <c r="R215" t="s">
        <v>74</v>
      </c>
      <c r="S215" t="s">
        <v>74</v>
      </c>
      <c r="T215" t="s">
        <v>5872</v>
      </c>
      <c r="U215" t="s">
        <v>5873</v>
      </c>
      <c r="V215" t="s">
        <v>5874</v>
      </c>
      <c r="W215" s="1" t="s">
        <v>5875</v>
      </c>
      <c r="X215" t="s">
        <v>5876</v>
      </c>
      <c r="Y215" t="s">
        <v>5877</v>
      </c>
      <c r="Z215" t="s">
        <v>5878</v>
      </c>
      <c r="AA215" t="s">
        <v>5879</v>
      </c>
      <c r="AB215" t="s">
        <v>5880</v>
      </c>
      <c r="AC215" t="s">
        <v>5881</v>
      </c>
      <c r="AD215" t="s">
        <v>5882</v>
      </c>
      <c r="AE215" t="s">
        <v>5883</v>
      </c>
      <c r="AF215" t="s">
        <v>5884</v>
      </c>
      <c r="AG215">
        <v>28</v>
      </c>
      <c r="AH215">
        <v>0</v>
      </c>
      <c r="AI215">
        <v>0</v>
      </c>
      <c r="AJ215">
        <v>2</v>
      </c>
      <c r="AK215">
        <v>7</v>
      </c>
      <c r="AL215" t="s">
        <v>1024</v>
      </c>
      <c r="AM215" t="s">
        <v>620</v>
      </c>
      <c r="AN215" t="s">
        <v>1025</v>
      </c>
      <c r="AO215" t="s">
        <v>5885</v>
      </c>
      <c r="AP215" t="s">
        <v>5886</v>
      </c>
      <c r="AQ215" t="s">
        <v>74</v>
      </c>
      <c r="AR215" t="s">
        <v>5887</v>
      </c>
      <c r="AS215" t="s">
        <v>5888</v>
      </c>
      <c r="AT215" t="s">
        <v>5889</v>
      </c>
      <c r="AU215">
        <v>2022</v>
      </c>
      <c r="AV215">
        <v>194</v>
      </c>
      <c r="AW215" t="s">
        <v>74</v>
      </c>
      <c r="AX215" t="s">
        <v>74</v>
      </c>
      <c r="AY215" t="s">
        <v>74</v>
      </c>
      <c r="AZ215" t="s">
        <v>74</v>
      </c>
      <c r="BA215" t="s">
        <v>74</v>
      </c>
      <c r="BB215" t="s">
        <v>74</v>
      </c>
      <c r="BC215" t="s">
        <v>74</v>
      </c>
      <c r="BD215">
        <v>123017</v>
      </c>
      <c r="BE215" t="s">
        <v>5890</v>
      </c>
      <c r="BF215" t="str">
        <f>HYPERLINK("http://dx.doi.org/10.1016/j.ijheatmasstransfer.2022.123017","http://dx.doi.org/10.1016/j.ijheatmasstransfer.2022.123017")</f>
        <v>http://dx.doi.org/10.1016/j.ijheatmasstransfer.2022.123017</v>
      </c>
      <c r="BG215" t="s">
        <v>74</v>
      </c>
      <c r="BH215" t="s">
        <v>1660</v>
      </c>
      <c r="BI215">
        <v>9</v>
      </c>
      <c r="BJ215" t="s">
        <v>5891</v>
      </c>
      <c r="BK215" t="s">
        <v>102</v>
      </c>
      <c r="BL215" t="s">
        <v>5892</v>
      </c>
      <c r="BM215" t="s">
        <v>5893</v>
      </c>
      <c r="BN215" t="s">
        <v>74</v>
      </c>
      <c r="BO215" t="s">
        <v>5894</v>
      </c>
      <c r="BP215" t="s">
        <v>74</v>
      </c>
      <c r="BQ215" t="s">
        <v>74</v>
      </c>
      <c r="BR215" t="s">
        <v>105</v>
      </c>
      <c r="BS215" t="s">
        <v>5895</v>
      </c>
      <c r="BT215" t="str">
        <f>HYPERLINK("https%3A%2F%2Fwww.webofscience.com%2Fwos%2Fwoscc%2Ffull-record%2FWOS:000806739300007","View Full Record in Web of Science")</f>
        <v>View Full Record in Web of Science</v>
      </c>
    </row>
    <row r="216" spans="1:72" x14ac:dyDescent="0.2">
      <c r="A216" t="s">
        <v>72</v>
      </c>
      <c r="B216" t="s">
        <v>3296</v>
      </c>
      <c r="C216" t="s">
        <v>74</v>
      </c>
      <c r="D216" t="s">
        <v>74</v>
      </c>
      <c r="E216" t="s">
        <v>74</v>
      </c>
      <c r="F216" t="s">
        <v>3297</v>
      </c>
      <c r="G216" t="s">
        <v>74</v>
      </c>
      <c r="H216" t="s">
        <v>74</v>
      </c>
      <c r="I216" t="s">
        <v>3298</v>
      </c>
      <c r="J216" t="s">
        <v>3299</v>
      </c>
      <c r="K216" t="s">
        <v>74</v>
      </c>
      <c r="L216" t="s">
        <v>74</v>
      </c>
      <c r="M216" t="s">
        <v>1517</v>
      </c>
      <c r="N216" t="s">
        <v>79</v>
      </c>
      <c r="O216" t="s">
        <v>74</v>
      </c>
      <c r="P216" t="s">
        <v>74</v>
      </c>
      <c r="Q216" t="s">
        <v>74</v>
      </c>
      <c r="R216" t="s">
        <v>74</v>
      </c>
      <c r="S216" t="s">
        <v>74</v>
      </c>
      <c r="T216" t="s">
        <v>3300</v>
      </c>
      <c r="U216" t="s">
        <v>3301</v>
      </c>
      <c r="V216" t="s">
        <v>3302</v>
      </c>
      <c r="W216" s="1" t="s">
        <v>3303</v>
      </c>
      <c r="X216" t="s">
        <v>84</v>
      </c>
      <c r="Y216" t="s">
        <v>3304</v>
      </c>
      <c r="Z216" t="s">
        <v>3305</v>
      </c>
      <c r="AA216" t="s">
        <v>74</v>
      </c>
      <c r="AB216" t="s">
        <v>3306</v>
      </c>
      <c r="AC216" t="s">
        <v>74</v>
      </c>
      <c r="AD216" t="s">
        <v>74</v>
      </c>
      <c r="AE216" t="s">
        <v>74</v>
      </c>
      <c r="AF216" t="s">
        <v>3307</v>
      </c>
      <c r="AG216">
        <v>28</v>
      </c>
      <c r="AH216">
        <v>0</v>
      </c>
      <c r="AI216">
        <v>0</v>
      </c>
      <c r="AJ216">
        <v>1</v>
      </c>
      <c r="AK216">
        <v>1</v>
      </c>
      <c r="AL216" t="s">
        <v>3308</v>
      </c>
      <c r="AM216" t="s">
        <v>3309</v>
      </c>
      <c r="AN216" t="s">
        <v>3310</v>
      </c>
      <c r="AO216" t="s">
        <v>3311</v>
      </c>
      <c r="AP216" t="s">
        <v>3312</v>
      </c>
      <c r="AQ216" t="s">
        <v>74</v>
      </c>
      <c r="AR216" t="s">
        <v>3313</v>
      </c>
      <c r="AS216" t="s">
        <v>3314</v>
      </c>
      <c r="AT216" t="s">
        <v>3315</v>
      </c>
      <c r="AU216">
        <v>2022</v>
      </c>
      <c r="AV216">
        <v>33</v>
      </c>
      <c r="AW216">
        <v>1</v>
      </c>
      <c r="AX216" t="s">
        <v>74</v>
      </c>
      <c r="AY216" t="s">
        <v>74</v>
      </c>
      <c r="AZ216" t="s">
        <v>74</v>
      </c>
      <c r="BA216" t="s">
        <v>74</v>
      </c>
      <c r="BB216" t="s">
        <v>74</v>
      </c>
      <c r="BC216" t="s">
        <v>74</v>
      </c>
      <c r="BD216" t="s">
        <v>3316</v>
      </c>
      <c r="BE216" t="s">
        <v>3317</v>
      </c>
      <c r="BF216" t="str">
        <f>HYPERLINK("http://dx.doi.org/10.15381/rivep.v33i1.20539","http://dx.doi.org/10.15381/rivep.v33i1.20539")</f>
        <v>http://dx.doi.org/10.15381/rivep.v33i1.20539</v>
      </c>
      <c r="BG216" t="s">
        <v>74</v>
      </c>
      <c r="BH216" t="s">
        <v>74</v>
      </c>
      <c r="BI216">
        <v>7</v>
      </c>
      <c r="BJ216" t="s">
        <v>1594</v>
      </c>
      <c r="BK216" t="s">
        <v>187</v>
      </c>
      <c r="BL216" t="s">
        <v>1594</v>
      </c>
      <c r="BM216" t="s">
        <v>3318</v>
      </c>
      <c r="BN216" t="s">
        <v>74</v>
      </c>
      <c r="BO216" t="s">
        <v>190</v>
      </c>
      <c r="BP216" t="s">
        <v>74</v>
      </c>
      <c r="BQ216" t="s">
        <v>74</v>
      </c>
      <c r="BR216" t="s">
        <v>105</v>
      </c>
      <c r="BS216" t="s">
        <v>3319</v>
      </c>
      <c r="BT216" t="str">
        <f>HYPERLINK("https%3A%2F%2Fwww.webofscience.com%2Fwos%2Fwoscc%2Ffull-record%2FWOS:000922274500017","View Full Record in Web of Science")</f>
        <v>View Full Record in Web of Science</v>
      </c>
    </row>
    <row r="217" spans="1:72" x14ac:dyDescent="0.2">
      <c r="A217" t="s">
        <v>72</v>
      </c>
      <c r="B217" t="s">
        <v>5721</v>
      </c>
      <c r="C217" t="s">
        <v>74</v>
      </c>
      <c r="D217" t="s">
        <v>74</v>
      </c>
      <c r="E217" t="s">
        <v>74</v>
      </c>
      <c r="F217" t="s">
        <v>5722</v>
      </c>
      <c r="G217" t="s">
        <v>74</v>
      </c>
      <c r="H217" t="s">
        <v>74</v>
      </c>
      <c r="I217" t="s">
        <v>5723</v>
      </c>
      <c r="J217" t="s">
        <v>5724</v>
      </c>
      <c r="K217" t="s">
        <v>74</v>
      </c>
      <c r="L217" t="s">
        <v>74</v>
      </c>
      <c r="M217" t="s">
        <v>1517</v>
      </c>
      <c r="N217" t="s">
        <v>167</v>
      </c>
      <c r="O217" t="s">
        <v>74</v>
      </c>
      <c r="P217" t="s">
        <v>74</v>
      </c>
      <c r="Q217" t="s">
        <v>74</v>
      </c>
      <c r="R217" t="s">
        <v>74</v>
      </c>
      <c r="S217" t="s">
        <v>74</v>
      </c>
      <c r="T217" t="s">
        <v>5725</v>
      </c>
      <c r="U217" t="s">
        <v>5726</v>
      </c>
      <c r="V217" t="s">
        <v>5727</v>
      </c>
      <c r="W217" s="1" t="s">
        <v>5728</v>
      </c>
      <c r="X217" t="s">
        <v>142</v>
      </c>
      <c r="Y217" t="s">
        <v>5729</v>
      </c>
      <c r="Z217" t="s">
        <v>5730</v>
      </c>
      <c r="AA217" t="s">
        <v>74</v>
      </c>
      <c r="AB217" t="s">
        <v>74</v>
      </c>
      <c r="AC217" t="s">
        <v>74</v>
      </c>
      <c r="AD217" t="s">
        <v>74</v>
      </c>
      <c r="AE217" t="s">
        <v>74</v>
      </c>
      <c r="AF217" t="s">
        <v>5731</v>
      </c>
      <c r="AG217">
        <v>50</v>
      </c>
      <c r="AH217">
        <v>0</v>
      </c>
      <c r="AI217">
        <v>0</v>
      </c>
      <c r="AJ217">
        <v>0</v>
      </c>
      <c r="AK217">
        <v>0</v>
      </c>
      <c r="AL217" t="s">
        <v>5208</v>
      </c>
      <c r="AM217" t="s">
        <v>316</v>
      </c>
      <c r="AN217" t="s">
        <v>5209</v>
      </c>
      <c r="AO217" t="s">
        <v>5732</v>
      </c>
      <c r="AP217" t="s">
        <v>74</v>
      </c>
      <c r="AQ217" t="s">
        <v>74</v>
      </c>
      <c r="AR217" t="s">
        <v>5733</v>
      </c>
      <c r="AS217" t="s">
        <v>5734</v>
      </c>
      <c r="AT217" t="s">
        <v>1487</v>
      </c>
      <c r="AU217">
        <v>2022</v>
      </c>
      <c r="AV217">
        <v>15</v>
      </c>
      <c r="AW217">
        <v>2</v>
      </c>
      <c r="AX217" t="s">
        <v>74</v>
      </c>
      <c r="AY217" t="s">
        <v>74</v>
      </c>
      <c r="AZ217" t="s">
        <v>74</v>
      </c>
      <c r="BA217" t="s">
        <v>74</v>
      </c>
      <c r="BB217">
        <v>57</v>
      </c>
      <c r="BC217">
        <v>75</v>
      </c>
      <c r="BD217" t="s">
        <v>74</v>
      </c>
      <c r="BE217" t="s">
        <v>5735</v>
      </c>
      <c r="BF217" t="str">
        <f>HYPERLINK("http://dx.doi.org/10.18359/ravi.5728","http://dx.doi.org/10.18359/ravi.5728")</f>
        <v>http://dx.doi.org/10.18359/ravi.5728</v>
      </c>
      <c r="BG217" t="s">
        <v>74</v>
      </c>
      <c r="BH217" t="s">
        <v>74</v>
      </c>
      <c r="BI217">
        <v>19</v>
      </c>
      <c r="BJ217" t="s">
        <v>963</v>
      </c>
      <c r="BK217" t="s">
        <v>187</v>
      </c>
      <c r="BL217" t="s">
        <v>963</v>
      </c>
      <c r="BM217" t="s">
        <v>5736</v>
      </c>
      <c r="BN217" t="s">
        <v>74</v>
      </c>
      <c r="BO217" t="s">
        <v>419</v>
      </c>
      <c r="BP217" t="s">
        <v>74</v>
      </c>
      <c r="BQ217" t="s">
        <v>74</v>
      </c>
      <c r="BR217" t="s">
        <v>105</v>
      </c>
      <c r="BS217" t="s">
        <v>5737</v>
      </c>
      <c r="BT217" t="str">
        <f>HYPERLINK("https%3A%2F%2Fwww.webofscience.com%2Fwos%2Fwoscc%2Ffull-record%2FWOS:000925817200005","View Full Record in Web of Science")</f>
        <v>View Full Record in Web of Science</v>
      </c>
    </row>
    <row r="218" spans="1:72" x14ac:dyDescent="0.2">
      <c r="A218" t="s">
        <v>72</v>
      </c>
      <c r="B218" t="s">
        <v>2243</v>
      </c>
      <c r="C218" t="s">
        <v>74</v>
      </c>
      <c r="D218" t="s">
        <v>74</v>
      </c>
      <c r="E218" t="s">
        <v>74</v>
      </c>
      <c r="F218" t="s">
        <v>2244</v>
      </c>
      <c r="G218" t="s">
        <v>74</v>
      </c>
      <c r="H218" t="s">
        <v>74</v>
      </c>
      <c r="I218" t="s">
        <v>2245</v>
      </c>
      <c r="J218" t="s">
        <v>2246</v>
      </c>
      <c r="K218" t="s">
        <v>74</v>
      </c>
      <c r="L218" t="s">
        <v>74</v>
      </c>
      <c r="M218" t="s">
        <v>78</v>
      </c>
      <c r="N218" t="s">
        <v>167</v>
      </c>
      <c r="O218" t="s">
        <v>74</v>
      </c>
      <c r="P218" t="s">
        <v>74</v>
      </c>
      <c r="Q218" t="s">
        <v>74</v>
      </c>
      <c r="R218" t="s">
        <v>74</v>
      </c>
      <c r="S218" t="s">
        <v>74</v>
      </c>
      <c r="T218" t="s">
        <v>2247</v>
      </c>
      <c r="U218" t="s">
        <v>2248</v>
      </c>
      <c r="V218" t="s">
        <v>2249</v>
      </c>
      <c r="W218" s="1" t="s">
        <v>2250</v>
      </c>
      <c r="X218" t="s">
        <v>142</v>
      </c>
      <c r="Y218" t="s">
        <v>2251</v>
      </c>
      <c r="Z218" t="s">
        <v>1327</v>
      </c>
      <c r="AA218" t="s">
        <v>74</v>
      </c>
      <c r="AB218" t="s">
        <v>74</v>
      </c>
      <c r="AC218" t="s">
        <v>74</v>
      </c>
      <c r="AD218" t="s">
        <v>74</v>
      </c>
      <c r="AE218" t="s">
        <v>74</v>
      </c>
      <c r="AF218" t="s">
        <v>2252</v>
      </c>
      <c r="AG218">
        <v>66</v>
      </c>
      <c r="AH218">
        <v>0</v>
      </c>
      <c r="AI218">
        <v>0</v>
      </c>
      <c r="AJ218">
        <v>2</v>
      </c>
      <c r="AK218">
        <v>9</v>
      </c>
      <c r="AL218" t="s">
        <v>2253</v>
      </c>
      <c r="AM218" t="s">
        <v>316</v>
      </c>
      <c r="AN218" t="s">
        <v>2254</v>
      </c>
      <c r="AO218" t="s">
        <v>2255</v>
      </c>
      <c r="AP218" t="s">
        <v>2256</v>
      </c>
      <c r="AQ218" t="s">
        <v>74</v>
      </c>
      <c r="AR218" t="s">
        <v>2257</v>
      </c>
      <c r="AS218" t="s">
        <v>2258</v>
      </c>
      <c r="AT218" t="s">
        <v>931</v>
      </c>
      <c r="AU218">
        <v>2022</v>
      </c>
      <c r="AV218">
        <v>27</v>
      </c>
      <c r="AW218">
        <v>2</v>
      </c>
      <c r="AX218" t="s">
        <v>74</v>
      </c>
      <c r="AY218" t="s">
        <v>74</v>
      </c>
      <c r="AZ218" t="s">
        <v>74</v>
      </c>
      <c r="BA218" t="s">
        <v>74</v>
      </c>
      <c r="BB218">
        <v>282</v>
      </c>
      <c r="BC218">
        <v>291</v>
      </c>
      <c r="BD218" t="s">
        <v>74</v>
      </c>
      <c r="BE218" t="s">
        <v>2259</v>
      </c>
      <c r="BF218" t="str">
        <f>HYPERLINK("http://dx.doi.org/10.15446/abc.v27n2.92192","http://dx.doi.org/10.15446/abc.v27n2.92192")</f>
        <v>http://dx.doi.org/10.15446/abc.v27n2.92192</v>
      </c>
      <c r="BG218" t="s">
        <v>74</v>
      </c>
      <c r="BH218" t="s">
        <v>74</v>
      </c>
      <c r="BI218">
        <v>10</v>
      </c>
      <c r="BJ218" t="s">
        <v>2260</v>
      </c>
      <c r="BK218" t="s">
        <v>102</v>
      </c>
      <c r="BL218" t="s">
        <v>2260</v>
      </c>
      <c r="BM218" t="s">
        <v>2261</v>
      </c>
      <c r="BN218" t="s">
        <v>74</v>
      </c>
      <c r="BO218" t="s">
        <v>190</v>
      </c>
      <c r="BP218" t="s">
        <v>74</v>
      </c>
      <c r="BQ218" t="s">
        <v>74</v>
      </c>
      <c r="BR218" t="s">
        <v>105</v>
      </c>
      <c r="BS218" t="s">
        <v>2262</v>
      </c>
      <c r="BT218" t="str">
        <f>HYPERLINK("https%3A%2F%2Fwww.webofscience.com%2Fwos%2Fwoscc%2Ffull-record%2FWOS:000841922300013","View Full Record in Web of Science")</f>
        <v>View Full Record in Web of Science</v>
      </c>
    </row>
    <row r="219" spans="1:72" x14ac:dyDescent="0.2">
      <c r="A219" t="s">
        <v>72</v>
      </c>
      <c r="B219" t="s">
        <v>1318</v>
      </c>
      <c r="C219" t="s">
        <v>74</v>
      </c>
      <c r="D219" t="s">
        <v>74</v>
      </c>
      <c r="E219" t="s">
        <v>74</v>
      </c>
      <c r="F219" t="s">
        <v>1319</v>
      </c>
      <c r="G219" t="s">
        <v>74</v>
      </c>
      <c r="H219" t="s">
        <v>74</v>
      </c>
      <c r="I219" t="s">
        <v>1320</v>
      </c>
      <c r="J219" t="s">
        <v>1321</v>
      </c>
      <c r="K219" t="s">
        <v>74</v>
      </c>
      <c r="L219" t="s">
        <v>74</v>
      </c>
      <c r="M219" t="s">
        <v>78</v>
      </c>
      <c r="N219" t="s">
        <v>79</v>
      </c>
      <c r="O219" t="s">
        <v>74</v>
      </c>
      <c r="P219" t="s">
        <v>74</v>
      </c>
      <c r="Q219" t="s">
        <v>74</v>
      </c>
      <c r="R219" t="s">
        <v>74</v>
      </c>
      <c r="S219" t="s">
        <v>74</v>
      </c>
      <c r="T219" t="s">
        <v>1322</v>
      </c>
      <c r="U219" t="s">
        <v>1323</v>
      </c>
      <c r="V219" t="s">
        <v>1324</v>
      </c>
      <c r="W219" s="1" t="s">
        <v>1325</v>
      </c>
      <c r="X219" t="s">
        <v>84</v>
      </c>
      <c r="Y219" t="s">
        <v>1326</v>
      </c>
      <c r="Z219" t="s">
        <v>1327</v>
      </c>
      <c r="AA219" t="s">
        <v>74</v>
      </c>
      <c r="AB219" t="s">
        <v>1328</v>
      </c>
      <c r="AC219" t="s">
        <v>1329</v>
      </c>
      <c r="AD219" t="s">
        <v>1330</v>
      </c>
      <c r="AE219" t="s">
        <v>1331</v>
      </c>
      <c r="AF219" t="s">
        <v>1332</v>
      </c>
      <c r="AG219">
        <v>66</v>
      </c>
      <c r="AH219">
        <v>1</v>
      </c>
      <c r="AI219">
        <v>1</v>
      </c>
      <c r="AJ219">
        <v>2</v>
      </c>
      <c r="AK219">
        <v>7</v>
      </c>
      <c r="AL219" t="s">
        <v>1071</v>
      </c>
      <c r="AM219" t="s">
        <v>1072</v>
      </c>
      <c r="AN219" t="s">
        <v>1073</v>
      </c>
      <c r="AO219" t="s">
        <v>1333</v>
      </c>
      <c r="AP219" t="s">
        <v>1334</v>
      </c>
      <c r="AQ219" t="s">
        <v>74</v>
      </c>
      <c r="AR219" t="s">
        <v>1335</v>
      </c>
      <c r="AS219" t="s">
        <v>1336</v>
      </c>
      <c r="AT219" t="s">
        <v>126</v>
      </c>
      <c r="AU219">
        <v>2022</v>
      </c>
      <c r="AV219">
        <v>42</v>
      </c>
      <c r="AW219">
        <v>3</v>
      </c>
      <c r="AX219" t="s">
        <v>74</v>
      </c>
      <c r="AY219" t="s">
        <v>74</v>
      </c>
      <c r="AZ219" t="s">
        <v>74</v>
      </c>
      <c r="BA219" t="s">
        <v>74</v>
      </c>
      <c r="BB219">
        <v>2259</v>
      </c>
      <c r="BC219">
        <v>2268</v>
      </c>
      <c r="BD219" t="s">
        <v>74</v>
      </c>
      <c r="BE219" t="s">
        <v>1337</v>
      </c>
      <c r="BF219" t="str">
        <f>HYPERLINK("http://dx.doi.org/10.1007/s42690-022-00748-z","http://dx.doi.org/10.1007/s42690-022-00748-z")</f>
        <v>http://dx.doi.org/10.1007/s42690-022-00748-z</v>
      </c>
      <c r="BG219" t="s">
        <v>74</v>
      </c>
      <c r="BH219" t="s">
        <v>389</v>
      </c>
      <c r="BI219">
        <v>10</v>
      </c>
      <c r="BJ219" t="s">
        <v>1338</v>
      </c>
      <c r="BK219" t="s">
        <v>102</v>
      </c>
      <c r="BL219" t="s">
        <v>1338</v>
      </c>
      <c r="BM219" t="s">
        <v>1339</v>
      </c>
      <c r="BN219" t="s">
        <v>74</v>
      </c>
      <c r="BO219" t="s">
        <v>74</v>
      </c>
      <c r="BP219" t="s">
        <v>74</v>
      </c>
      <c r="BQ219" t="s">
        <v>74</v>
      </c>
      <c r="BR219" t="s">
        <v>105</v>
      </c>
      <c r="BS219" t="s">
        <v>1340</v>
      </c>
      <c r="BT219" t="str">
        <f>HYPERLINK("https%3A%2F%2Fwww.webofscience.com%2Fwos%2Fwoscc%2Ffull-record%2FWOS:000750320500001","View Full Record in Web of Science")</f>
        <v>View Full Record in Web of Science</v>
      </c>
    </row>
    <row r="220" spans="1:72" x14ac:dyDescent="0.2">
      <c r="A220" t="s">
        <v>72</v>
      </c>
      <c r="B220" t="s">
        <v>4557</v>
      </c>
      <c r="C220" t="s">
        <v>74</v>
      </c>
      <c r="D220" t="s">
        <v>74</v>
      </c>
      <c r="E220" t="s">
        <v>74</v>
      </c>
      <c r="F220" t="s">
        <v>4558</v>
      </c>
      <c r="G220" t="s">
        <v>74</v>
      </c>
      <c r="H220" t="s">
        <v>74</v>
      </c>
      <c r="I220" t="s">
        <v>4559</v>
      </c>
      <c r="J220" t="s">
        <v>4560</v>
      </c>
      <c r="K220" t="s">
        <v>74</v>
      </c>
      <c r="L220" t="s">
        <v>74</v>
      </c>
      <c r="M220" t="s">
        <v>78</v>
      </c>
      <c r="N220" t="s">
        <v>79</v>
      </c>
      <c r="O220" t="s">
        <v>74</v>
      </c>
      <c r="P220" t="s">
        <v>74</v>
      </c>
      <c r="Q220" t="s">
        <v>74</v>
      </c>
      <c r="R220" t="s">
        <v>74</v>
      </c>
      <c r="S220" t="s">
        <v>74</v>
      </c>
      <c r="T220" t="s">
        <v>4561</v>
      </c>
      <c r="U220" t="s">
        <v>4562</v>
      </c>
      <c r="V220" t="s">
        <v>4563</v>
      </c>
      <c r="W220" s="1" t="s">
        <v>4564</v>
      </c>
      <c r="X220" t="s">
        <v>4565</v>
      </c>
      <c r="Y220" t="s">
        <v>4566</v>
      </c>
      <c r="Z220" t="s">
        <v>4567</v>
      </c>
      <c r="AA220" t="s">
        <v>4568</v>
      </c>
      <c r="AB220" t="s">
        <v>4569</v>
      </c>
      <c r="AC220" t="s">
        <v>74</v>
      </c>
      <c r="AD220" t="s">
        <v>74</v>
      </c>
      <c r="AE220" t="s">
        <v>74</v>
      </c>
      <c r="AF220" t="s">
        <v>4570</v>
      </c>
      <c r="AG220">
        <v>27</v>
      </c>
      <c r="AH220">
        <v>1</v>
      </c>
      <c r="AI220">
        <v>1</v>
      </c>
      <c r="AJ220">
        <v>0</v>
      </c>
      <c r="AK220">
        <v>1</v>
      </c>
      <c r="AL220" t="s">
        <v>4571</v>
      </c>
      <c r="AM220" t="s">
        <v>4572</v>
      </c>
      <c r="AN220" t="s">
        <v>4573</v>
      </c>
      <c r="AO220" t="s">
        <v>4574</v>
      </c>
      <c r="AP220" t="s">
        <v>4575</v>
      </c>
      <c r="AQ220" t="s">
        <v>74</v>
      </c>
      <c r="AR220" t="s">
        <v>4576</v>
      </c>
      <c r="AS220" t="s">
        <v>4577</v>
      </c>
      <c r="AT220" t="s">
        <v>242</v>
      </c>
      <c r="AU220">
        <v>2022</v>
      </c>
      <c r="AV220">
        <v>114</v>
      </c>
      <c r="AW220" t="s">
        <v>74</v>
      </c>
      <c r="AX220" t="s">
        <v>74</v>
      </c>
      <c r="AY220" t="s">
        <v>74</v>
      </c>
      <c r="AZ220" t="s">
        <v>74</v>
      </c>
      <c r="BA220" t="s">
        <v>74</v>
      </c>
      <c r="BB220" t="s">
        <v>74</v>
      </c>
      <c r="BC220" t="s">
        <v>74</v>
      </c>
      <c r="BD220">
        <v>105402</v>
      </c>
      <c r="BE220" t="s">
        <v>4578</v>
      </c>
      <c r="BF220" t="str">
        <f>HYPERLINK("http://dx.doi.org/10.1016/j.nedt.2022.105402","http://dx.doi.org/10.1016/j.nedt.2022.105402")</f>
        <v>http://dx.doi.org/10.1016/j.nedt.2022.105402</v>
      </c>
      <c r="BG220" t="s">
        <v>74</v>
      </c>
      <c r="BH220" t="s">
        <v>1660</v>
      </c>
      <c r="BI220">
        <v>7</v>
      </c>
      <c r="BJ220" t="s">
        <v>4579</v>
      </c>
      <c r="BK220" t="s">
        <v>298</v>
      </c>
      <c r="BL220" t="s">
        <v>4580</v>
      </c>
      <c r="BM220" t="s">
        <v>4581</v>
      </c>
      <c r="BN220">
        <v>35594694</v>
      </c>
      <c r="BO220" t="s">
        <v>4582</v>
      </c>
      <c r="BP220" t="s">
        <v>74</v>
      </c>
      <c r="BQ220" t="s">
        <v>74</v>
      </c>
      <c r="BR220" t="s">
        <v>105</v>
      </c>
      <c r="BS220" t="s">
        <v>4583</v>
      </c>
      <c r="BT220" t="str">
        <f>HYPERLINK("https%3A%2F%2Fwww.webofscience.com%2Fwos%2Fwoscc%2Ffull-record%2FWOS:000800745100010","View Full Record in Web of Science")</f>
        <v>View Full Record in Web of Science</v>
      </c>
    </row>
    <row r="221" spans="1:72" x14ac:dyDescent="0.2">
      <c r="A221" t="s">
        <v>72</v>
      </c>
      <c r="B221" t="s">
        <v>631</v>
      </c>
      <c r="C221" t="s">
        <v>74</v>
      </c>
      <c r="D221" t="s">
        <v>74</v>
      </c>
      <c r="E221" t="s">
        <v>74</v>
      </c>
      <c r="F221" t="s">
        <v>632</v>
      </c>
      <c r="G221" t="s">
        <v>74</v>
      </c>
      <c r="H221" t="s">
        <v>74</v>
      </c>
      <c r="I221" t="s">
        <v>633</v>
      </c>
      <c r="J221" t="s">
        <v>634</v>
      </c>
      <c r="K221" t="s">
        <v>74</v>
      </c>
      <c r="L221" t="s">
        <v>74</v>
      </c>
      <c r="M221" t="s">
        <v>78</v>
      </c>
      <c r="N221" t="s">
        <v>79</v>
      </c>
      <c r="O221" t="s">
        <v>74</v>
      </c>
      <c r="P221" t="s">
        <v>74</v>
      </c>
      <c r="Q221" t="s">
        <v>74</v>
      </c>
      <c r="R221" t="s">
        <v>74</v>
      </c>
      <c r="S221" t="s">
        <v>74</v>
      </c>
      <c r="T221" t="s">
        <v>74</v>
      </c>
      <c r="U221" t="s">
        <v>74</v>
      </c>
      <c r="V221" t="s">
        <v>635</v>
      </c>
      <c r="W221" s="1" t="s">
        <v>636</v>
      </c>
      <c r="X221" t="s">
        <v>142</v>
      </c>
      <c r="Y221" t="s">
        <v>637</v>
      </c>
      <c r="Z221" t="s">
        <v>638</v>
      </c>
      <c r="AA221" t="s">
        <v>639</v>
      </c>
      <c r="AB221" t="s">
        <v>640</v>
      </c>
      <c r="AC221" t="s">
        <v>641</v>
      </c>
      <c r="AD221" t="s">
        <v>642</v>
      </c>
      <c r="AE221" t="s">
        <v>643</v>
      </c>
      <c r="AF221" t="s">
        <v>644</v>
      </c>
      <c r="AG221">
        <v>27</v>
      </c>
      <c r="AH221">
        <v>2</v>
      </c>
      <c r="AI221">
        <v>2</v>
      </c>
      <c r="AJ221">
        <v>3</v>
      </c>
      <c r="AK221">
        <v>10</v>
      </c>
      <c r="AL221" t="s">
        <v>645</v>
      </c>
      <c r="AM221" t="s">
        <v>547</v>
      </c>
      <c r="AN221" t="s">
        <v>646</v>
      </c>
      <c r="AO221" t="s">
        <v>647</v>
      </c>
      <c r="AP221" t="s">
        <v>648</v>
      </c>
      <c r="AQ221" t="s">
        <v>74</v>
      </c>
      <c r="AR221" t="s">
        <v>649</v>
      </c>
      <c r="AS221" t="s">
        <v>650</v>
      </c>
      <c r="AT221" t="s">
        <v>651</v>
      </c>
      <c r="AU221">
        <v>2022</v>
      </c>
      <c r="AV221">
        <v>2022</v>
      </c>
      <c r="AW221" t="s">
        <v>74</v>
      </c>
      <c r="AX221" t="s">
        <v>74</v>
      </c>
      <c r="AY221" t="s">
        <v>74</v>
      </c>
      <c r="AZ221" t="s">
        <v>74</v>
      </c>
      <c r="BA221" t="s">
        <v>74</v>
      </c>
      <c r="BB221" t="s">
        <v>74</v>
      </c>
      <c r="BC221" t="s">
        <v>74</v>
      </c>
      <c r="BD221">
        <v>7287487</v>
      </c>
      <c r="BE221" t="s">
        <v>652</v>
      </c>
      <c r="BF221" t="str">
        <f>HYPERLINK("http://dx.doi.org/10.1155/2022/7287487","http://dx.doi.org/10.1155/2022/7287487")</f>
        <v>http://dx.doi.org/10.1155/2022/7287487</v>
      </c>
      <c r="BG221" t="s">
        <v>74</v>
      </c>
      <c r="BH221" t="s">
        <v>74</v>
      </c>
      <c r="BI221">
        <v>7</v>
      </c>
      <c r="BJ221" t="s">
        <v>653</v>
      </c>
      <c r="BK221" t="s">
        <v>187</v>
      </c>
      <c r="BL221" t="s">
        <v>653</v>
      </c>
      <c r="BM221" t="s">
        <v>654</v>
      </c>
      <c r="BN221">
        <v>35265708</v>
      </c>
      <c r="BO221" t="s">
        <v>131</v>
      </c>
      <c r="BP221" t="s">
        <v>74</v>
      </c>
      <c r="BQ221" t="s">
        <v>74</v>
      </c>
      <c r="BR221" t="s">
        <v>105</v>
      </c>
      <c r="BS221" t="s">
        <v>655</v>
      </c>
      <c r="BT221" t="str">
        <f>HYPERLINK("https%3A%2F%2Fwww.webofscience.com%2Fwos%2Fwoscc%2Ffull-record%2FWOS:000778350600001","View Full Record in Web of Science")</f>
        <v>View Full Record in Web of Science</v>
      </c>
    </row>
    <row r="222" spans="1:72" x14ac:dyDescent="0.2">
      <c r="A222" t="s">
        <v>72</v>
      </c>
      <c r="B222" t="s">
        <v>3537</v>
      </c>
      <c r="C222" t="s">
        <v>74</v>
      </c>
      <c r="D222" t="s">
        <v>74</v>
      </c>
      <c r="E222" t="s">
        <v>74</v>
      </c>
      <c r="F222" t="s">
        <v>3538</v>
      </c>
      <c r="G222" t="s">
        <v>74</v>
      </c>
      <c r="H222" t="s">
        <v>74</v>
      </c>
      <c r="I222" t="s">
        <v>3539</v>
      </c>
      <c r="J222" t="s">
        <v>3471</v>
      </c>
      <c r="K222" t="s">
        <v>74</v>
      </c>
      <c r="L222" t="s">
        <v>74</v>
      </c>
      <c r="M222" t="s">
        <v>78</v>
      </c>
      <c r="N222" t="s">
        <v>79</v>
      </c>
      <c r="O222" t="s">
        <v>74</v>
      </c>
      <c r="P222" t="s">
        <v>74</v>
      </c>
      <c r="Q222" t="s">
        <v>74</v>
      </c>
      <c r="R222" t="s">
        <v>74</v>
      </c>
      <c r="S222" t="s">
        <v>74</v>
      </c>
      <c r="T222" t="s">
        <v>3540</v>
      </c>
      <c r="U222" t="s">
        <v>3541</v>
      </c>
      <c r="V222" t="s">
        <v>3542</v>
      </c>
      <c r="W222" s="1" t="s">
        <v>3543</v>
      </c>
      <c r="X222" t="s">
        <v>1824</v>
      </c>
      <c r="Y222" t="s">
        <v>3476</v>
      </c>
      <c r="Z222" t="s">
        <v>3544</v>
      </c>
      <c r="AA222" t="s">
        <v>74</v>
      </c>
      <c r="AB222" t="s">
        <v>3545</v>
      </c>
      <c r="AC222" t="s">
        <v>3546</v>
      </c>
      <c r="AD222" t="s">
        <v>3547</v>
      </c>
      <c r="AE222" t="s">
        <v>3548</v>
      </c>
      <c r="AF222" t="s">
        <v>3549</v>
      </c>
      <c r="AG222">
        <v>17</v>
      </c>
      <c r="AH222">
        <v>2</v>
      </c>
      <c r="AI222">
        <v>2</v>
      </c>
      <c r="AJ222">
        <v>1</v>
      </c>
      <c r="AK222">
        <v>1</v>
      </c>
      <c r="AL222" t="s">
        <v>93</v>
      </c>
      <c r="AM222" t="s">
        <v>94</v>
      </c>
      <c r="AN222" t="s">
        <v>95</v>
      </c>
      <c r="AO222" t="s">
        <v>74</v>
      </c>
      <c r="AP222" t="s">
        <v>3483</v>
      </c>
      <c r="AQ222" t="s">
        <v>74</v>
      </c>
      <c r="AR222" t="s">
        <v>3471</v>
      </c>
      <c r="AS222" t="s">
        <v>3484</v>
      </c>
      <c r="AT222" t="s">
        <v>242</v>
      </c>
      <c r="AU222">
        <v>2022</v>
      </c>
      <c r="AV222">
        <v>10</v>
      </c>
      <c r="AW222">
        <v>7</v>
      </c>
      <c r="AX222" t="s">
        <v>74</v>
      </c>
      <c r="AY222" t="s">
        <v>74</v>
      </c>
      <c r="AZ222" t="s">
        <v>74</v>
      </c>
      <c r="BA222" t="s">
        <v>74</v>
      </c>
      <c r="BB222" t="s">
        <v>74</v>
      </c>
      <c r="BC222" t="s">
        <v>74</v>
      </c>
      <c r="BD222">
        <v>124</v>
      </c>
      <c r="BE222" t="s">
        <v>3550</v>
      </c>
      <c r="BF222" t="str">
        <f>HYPERLINK("http://dx.doi.org/10.3390/computation10070124","http://dx.doi.org/10.3390/computation10070124")</f>
        <v>http://dx.doi.org/10.3390/computation10070124</v>
      </c>
      <c r="BG222" t="s">
        <v>74</v>
      </c>
      <c r="BH222" t="s">
        <v>74</v>
      </c>
      <c r="BI222">
        <v>17</v>
      </c>
      <c r="BJ222" t="s">
        <v>3486</v>
      </c>
      <c r="BK222" t="s">
        <v>187</v>
      </c>
      <c r="BL222" t="s">
        <v>576</v>
      </c>
      <c r="BM222" t="s">
        <v>3551</v>
      </c>
      <c r="BN222" t="s">
        <v>74</v>
      </c>
      <c r="BO222" t="s">
        <v>190</v>
      </c>
      <c r="BP222" t="s">
        <v>74</v>
      </c>
      <c r="BQ222" t="s">
        <v>74</v>
      </c>
      <c r="BR222" t="s">
        <v>105</v>
      </c>
      <c r="BS222" t="s">
        <v>3552</v>
      </c>
      <c r="BT222" t="str">
        <f>HYPERLINK("https%3A%2F%2Fwww.webofscience.com%2Fwos%2Fwoscc%2Ffull-record%2FWOS:000832001600001","View Full Record in Web of Science")</f>
        <v>View Full Record in Web of Science</v>
      </c>
    </row>
    <row r="223" spans="1:72" x14ac:dyDescent="0.2">
      <c r="A223" t="s">
        <v>72</v>
      </c>
      <c r="B223" t="s">
        <v>5767</v>
      </c>
      <c r="C223" t="s">
        <v>74</v>
      </c>
      <c r="D223" t="s">
        <v>74</v>
      </c>
      <c r="E223" t="s">
        <v>74</v>
      </c>
      <c r="F223" t="s">
        <v>5768</v>
      </c>
      <c r="G223" t="s">
        <v>74</v>
      </c>
      <c r="H223" t="s">
        <v>74</v>
      </c>
      <c r="I223" t="s">
        <v>5769</v>
      </c>
      <c r="J223" t="s">
        <v>5770</v>
      </c>
      <c r="K223" t="s">
        <v>74</v>
      </c>
      <c r="L223" t="s">
        <v>74</v>
      </c>
      <c r="M223" t="s">
        <v>1517</v>
      </c>
      <c r="N223" t="s">
        <v>79</v>
      </c>
      <c r="O223" t="s">
        <v>74</v>
      </c>
      <c r="P223" t="s">
        <v>74</v>
      </c>
      <c r="Q223" t="s">
        <v>74</v>
      </c>
      <c r="R223" t="s">
        <v>74</v>
      </c>
      <c r="S223" t="s">
        <v>74</v>
      </c>
      <c r="T223" t="s">
        <v>5771</v>
      </c>
      <c r="U223" t="s">
        <v>74</v>
      </c>
      <c r="V223" t="s">
        <v>5772</v>
      </c>
      <c r="W223" s="1" t="s">
        <v>5773</v>
      </c>
      <c r="X223" t="s">
        <v>84</v>
      </c>
      <c r="Y223" t="s">
        <v>5774</v>
      </c>
      <c r="Z223" t="s">
        <v>74</v>
      </c>
      <c r="AA223" t="s">
        <v>74</v>
      </c>
      <c r="AB223" t="s">
        <v>74</v>
      </c>
      <c r="AC223" t="s">
        <v>74</v>
      </c>
      <c r="AD223" t="s">
        <v>74</v>
      </c>
      <c r="AE223" t="s">
        <v>74</v>
      </c>
      <c r="AF223" t="s">
        <v>5775</v>
      </c>
      <c r="AG223">
        <v>12</v>
      </c>
      <c r="AH223">
        <v>0</v>
      </c>
      <c r="AI223">
        <v>0</v>
      </c>
      <c r="AJ223">
        <v>0</v>
      </c>
      <c r="AK223">
        <v>0</v>
      </c>
      <c r="AL223" t="s">
        <v>5776</v>
      </c>
      <c r="AM223" t="s">
        <v>1504</v>
      </c>
      <c r="AN223" t="s">
        <v>5777</v>
      </c>
      <c r="AO223" t="s">
        <v>5778</v>
      </c>
      <c r="AP223" t="s">
        <v>74</v>
      </c>
      <c r="AQ223" t="s">
        <v>74</v>
      </c>
      <c r="AR223" t="s">
        <v>5779</v>
      </c>
      <c r="AS223" t="s">
        <v>5780</v>
      </c>
      <c r="AT223" t="s">
        <v>74</v>
      </c>
      <c r="AU223">
        <v>2022</v>
      </c>
      <c r="AV223">
        <v>11</v>
      </c>
      <c r="AW223" t="s">
        <v>74</v>
      </c>
      <c r="AX223" t="s">
        <v>74</v>
      </c>
      <c r="AY223" t="s">
        <v>74</v>
      </c>
      <c r="AZ223" t="s">
        <v>74</v>
      </c>
      <c r="BA223" t="s">
        <v>74</v>
      </c>
      <c r="BB223">
        <v>478</v>
      </c>
      <c r="BC223">
        <v>488</v>
      </c>
      <c r="BD223" t="s">
        <v>74</v>
      </c>
      <c r="BE223" t="s">
        <v>74</v>
      </c>
      <c r="BF223" t="s">
        <v>74</v>
      </c>
      <c r="BG223" t="s">
        <v>74</v>
      </c>
      <c r="BH223" t="s">
        <v>74</v>
      </c>
      <c r="BI223">
        <v>11</v>
      </c>
      <c r="BJ223" t="s">
        <v>2070</v>
      </c>
      <c r="BK223" t="s">
        <v>187</v>
      </c>
      <c r="BL223" t="s">
        <v>1960</v>
      </c>
      <c r="BM223" t="s">
        <v>5781</v>
      </c>
      <c r="BN223" t="s">
        <v>74</v>
      </c>
      <c r="BO223" t="s">
        <v>74</v>
      </c>
      <c r="BP223" t="s">
        <v>74</v>
      </c>
      <c r="BQ223" t="s">
        <v>74</v>
      </c>
      <c r="BR223" t="s">
        <v>105</v>
      </c>
      <c r="BS223" t="s">
        <v>5782</v>
      </c>
      <c r="BT223" t="str">
        <f>HYPERLINK("https%3A%2F%2Fwww.webofscience.com%2Fwos%2Fwoscc%2Ffull-record%2FWOS:000836312900001","View Full Record in Web of Science")</f>
        <v>View Full Record in Web of Science</v>
      </c>
    </row>
    <row r="224" spans="1:72" x14ac:dyDescent="0.2">
      <c r="A224" t="s">
        <v>72</v>
      </c>
      <c r="B224" t="s">
        <v>2525</v>
      </c>
      <c r="C224" t="s">
        <v>74</v>
      </c>
      <c r="D224" t="s">
        <v>74</v>
      </c>
      <c r="E224" t="s">
        <v>74</v>
      </c>
      <c r="F224" t="s">
        <v>2526</v>
      </c>
      <c r="G224" t="s">
        <v>74</v>
      </c>
      <c r="H224" t="s">
        <v>74</v>
      </c>
      <c r="I224" t="s">
        <v>2527</v>
      </c>
      <c r="J224" t="s">
        <v>2115</v>
      </c>
      <c r="K224" t="s">
        <v>74</v>
      </c>
      <c r="L224" t="s">
        <v>74</v>
      </c>
      <c r="M224" t="s">
        <v>78</v>
      </c>
      <c r="N224" t="s">
        <v>79</v>
      </c>
      <c r="O224" t="s">
        <v>74</v>
      </c>
      <c r="P224" t="s">
        <v>74</v>
      </c>
      <c r="Q224" t="s">
        <v>74</v>
      </c>
      <c r="R224" t="s">
        <v>74</v>
      </c>
      <c r="S224" t="s">
        <v>74</v>
      </c>
      <c r="T224" t="s">
        <v>2528</v>
      </c>
      <c r="U224" t="s">
        <v>74</v>
      </c>
      <c r="V224" t="s">
        <v>2529</v>
      </c>
      <c r="W224" s="1" t="s">
        <v>2530</v>
      </c>
      <c r="X224" t="s">
        <v>84</v>
      </c>
      <c r="Y224" t="s">
        <v>2119</v>
      </c>
      <c r="Z224" t="s">
        <v>2531</v>
      </c>
      <c r="AA224" t="s">
        <v>74</v>
      </c>
      <c r="AB224" t="s">
        <v>74</v>
      </c>
      <c r="AC224" t="s">
        <v>74</v>
      </c>
      <c r="AD224" t="s">
        <v>74</v>
      </c>
      <c r="AE224" t="s">
        <v>74</v>
      </c>
      <c r="AF224" t="s">
        <v>2532</v>
      </c>
      <c r="AG224">
        <v>11</v>
      </c>
      <c r="AH224">
        <v>0</v>
      </c>
      <c r="AI224">
        <v>0</v>
      </c>
      <c r="AJ224">
        <v>2</v>
      </c>
      <c r="AK224">
        <v>14</v>
      </c>
      <c r="AL224" t="s">
        <v>93</v>
      </c>
      <c r="AM224" t="s">
        <v>94</v>
      </c>
      <c r="AN224" t="s">
        <v>95</v>
      </c>
      <c r="AO224" t="s">
        <v>74</v>
      </c>
      <c r="AP224" t="s">
        <v>2123</v>
      </c>
      <c r="AQ224" t="s">
        <v>74</v>
      </c>
      <c r="AR224" t="s">
        <v>2124</v>
      </c>
      <c r="AS224" t="s">
        <v>2125</v>
      </c>
      <c r="AT224" t="s">
        <v>476</v>
      </c>
      <c r="AU224">
        <v>2022</v>
      </c>
      <c r="AV224">
        <v>13</v>
      </c>
      <c r="AW224">
        <v>9</v>
      </c>
      <c r="AX224" t="s">
        <v>74</v>
      </c>
      <c r="AY224" t="s">
        <v>74</v>
      </c>
      <c r="AZ224" t="s">
        <v>74</v>
      </c>
      <c r="BA224" t="s">
        <v>74</v>
      </c>
      <c r="BB224" t="s">
        <v>74</v>
      </c>
      <c r="BC224" t="s">
        <v>74</v>
      </c>
      <c r="BD224">
        <v>1541</v>
      </c>
      <c r="BE224" t="s">
        <v>2533</v>
      </c>
      <c r="BF224" t="str">
        <f>HYPERLINK("http://dx.doi.org/10.3390/mi13091541","http://dx.doi.org/10.3390/mi13091541")</f>
        <v>http://dx.doi.org/10.3390/mi13091541</v>
      </c>
      <c r="BG224" t="s">
        <v>74</v>
      </c>
      <c r="BH224" t="s">
        <v>74</v>
      </c>
      <c r="BI224">
        <v>7</v>
      </c>
      <c r="BJ224" t="s">
        <v>2127</v>
      </c>
      <c r="BK224" t="s">
        <v>102</v>
      </c>
      <c r="BL224" t="s">
        <v>2128</v>
      </c>
      <c r="BM224" t="s">
        <v>2534</v>
      </c>
      <c r="BN224">
        <v>36144164</v>
      </c>
      <c r="BO224" t="s">
        <v>131</v>
      </c>
      <c r="BP224" t="s">
        <v>74</v>
      </c>
      <c r="BQ224" t="s">
        <v>74</v>
      </c>
      <c r="BR224" t="s">
        <v>105</v>
      </c>
      <c r="BS224" t="s">
        <v>2535</v>
      </c>
      <c r="BT224" t="str">
        <f>HYPERLINK("https%3A%2F%2Fwww.webofscience.com%2Fwos%2Fwoscc%2Ffull-record%2FWOS:000859645300001","View Full Record in Web of Science")</f>
        <v>View Full Record in Web of Science</v>
      </c>
    </row>
    <row r="225" spans="1:72" x14ac:dyDescent="0.2">
      <c r="A225" t="s">
        <v>72</v>
      </c>
      <c r="B225" t="s">
        <v>2112</v>
      </c>
      <c r="C225" t="s">
        <v>74</v>
      </c>
      <c r="D225" t="s">
        <v>74</v>
      </c>
      <c r="E225" t="s">
        <v>74</v>
      </c>
      <c r="F225" t="s">
        <v>2113</v>
      </c>
      <c r="G225" t="s">
        <v>74</v>
      </c>
      <c r="H225" t="s">
        <v>74</v>
      </c>
      <c r="I225" t="s">
        <v>2114</v>
      </c>
      <c r="J225" t="s">
        <v>2115</v>
      </c>
      <c r="K225" t="s">
        <v>74</v>
      </c>
      <c r="L225" t="s">
        <v>74</v>
      </c>
      <c r="M225" t="s">
        <v>78</v>
      </c>
      <c r="N225" t="s">
        <v>79</v>
      </c>
      <c r="O225" t="s">
        <v>74</v>
      </c>
      <c r="P225" t="s">
        <v>74</v>
      </c>
      <c r="Q225" t="s">
        <v>74</v>
      </c>
      <c r="R225" t="s">
        <v>74</v>
      </c>
      <c r="S225" t="s">
        <v>74</v>
      </c>
      <c r="T225" t="s">
        <v>2116</v>
      </c>
      <c r="U225" t="s">
        <v>74</v>
      </c>
      <c r="V225" t="s">
        <v>2117</v>
      </c>
      <c r="W225" s="1" t="s">
        <v>2118</v>
      </c>
      <c r="X225" t="s">
        <v>142</v>
      </c>
      <c r="Y225" t="s">
        <v>2119</v>
      </c>
      <c r="Z225" t="s">
        <v>2120</v>
      </c>
      <c r="AA225" t="s">
        <v>74</v>
      </c>
      <c r="AB225" t="s">
        <v>2121</v>
      </c>
      <c r="AC225" t="s">
        <v>74</v>
      </c>
      <c r="AD225" t="s">
        <v>74</v>
      </c>
      <c r="AE225" t="s">
        <v>74</v>
      </c>
      <c r="AF225" t="s">
        <v>2122</v>
      </c>
      <c r="AG225">
        <v>18</v>
      </c>
      <c r="AH225">
        <v>4</v>
      </c>
      <c r="AI225">
        <v>4</v>
      </c>
      <c r="AJ225">
        <v>2</v>
      </c>
      <c r="AK225">
        <v>9</v>
      </c>
      <c r="AL225" t="s">
        <v>93</v>
      </c>
      <c r="AM225" t="s">
        <v>94</v>
      </c>
      <c r="AN225" t="s">
        <v>95</v>
      </c>
      <c r="AO225" t="s">
        <v>74</v>
      </c>
      <c r="AP225" t="s">
        <v>2123</v>
      </c>
      <c r="AQ225" t="s">
        <v>74</v>
      </c>
      <c r="AR225" t="s">
        <v>2124</v>
      </c>
      <c r="AS225" t="s">
        <v>2125</v>
      </c>
      <c r="AT225" t="s">
        <v>268</v>
      </c>
      <c r="AU225">
        <v>2022</v>
      </c>
      <c r="AV225">
        <v>13</v>
      </c>
      <c r="AW225">
        <v>4</v>
      </c>
      <c r="AX225" t="s">
        <v>74</v>
      </c>
      <c r="AY225" t="s">
        <v>74</v>
      </c>
      <c r="AZ225" t="s">
        <v>74</v>
      </c>
      <c r="BA225" t="s">
        <v>74</v>
      </c>
      <c r="BB225" t="s">
        <v>74</v>
      </c>
      <c r="BC225" t="s">
        <v>74</v>
      </c>
      <c r="BD225">
        <v>497</v>
      </c>
      <c r="BE225" t="s">
        <v>2126</v>
      </c>
      <c r="BF225" t="str">
        <f>HYPERLINK("http://dx.doi.org/10.3390/mi13040497","http://dx.doi.org/10.3390/mi13040497")</f>
        <v>http://dx.doi.org/10.3390/mi13040497</v>
      </c>
      <c r="BG225" t="s">
        <v>74</v>
      </c>
      <c r="BH225" t="s">
        <v>74</v>
      </c>
      <c r="BI225">
        <v>9</v>
      </c>
      <c r="BJ225" t="s">
        <v>2127</v>
      </c>
      <c r="BK225" t="s">
        <v>102</v>
      </c>
      <c r="BL225" t="s">
        <v>2128</v>
      </c>
      <c r="BM225" t="s">
        <v>2129</v>
      </c>
      <c r="BN225">
        <v>35457802</v>
      </c>
      <c r="BO225" t="s">
        <v>104</v>
      </c>
      <c r="BP225" t="s">
        <v>74</v>
      </c>
      <c r="BQ225" t="s">
        <v>74</v>
      </c>
      <c r="BR225" t="s">
        <v>105</v>
      </c>
      <c r="BS225" t="s">
        <v>2130</v>
      </c>
      <c r="BT225" t="str">
        <f>HYPERLINK("https%3A%2F%2Fwww.webofscience.com%2Fwos%2Fwoscc%2Ffull-record%2FWOS:000785045100001","View Full Record in Web of Science")</f>
        <v>View Full Record in Web of Science</v>
      </c>
    </row>
    <row r="226" spans="1:72" x14ac:dyDescent="0.2">
      <c r="A226" t="s">
        <v>72</v>
      </c>
      <c r="B226" t="s">
        <v>2166</v>
      </c>
      <c r="C226" t="s">
        <v>74</v>
      </c>
      <c r="D226" t="s">
        <v>74</v>
      </c>
      <c r="E226" t="s">
        <v>74</v>
      </c>
      <c r="F226" t="s">
        <v>2167</v>
      </c>
      <c r="G226" t="s">
        <v>74</v>
      </c>
      <c r="H226" t="s">
        <v>74</v>
      </c>
      <c r="I226" t="s">
        <v>2168</v>
      </c>
      <c r="J226" t="s">
        <v>2169</v>
      </c>
      <c r="K226" t="s">
        <v>74</v>
      </c>
      <c r="L226" t="s">
        <v>74</v>
      </c>
      <c r="M226" t="s">
        <v>78</v>
      </c>
      <c r="N226" t="s">
        <v>79</v>
      </c>
      <c r="O226" t="s">
        <v>74</v>
      </c>
      <c r="P226" t="s">
        <v>74</v>
      </c>
      <c r="Q226" t="s">
        <v>74</v>
      </c>
      <c r="R226" t="s">
        <v>74</v>
      </c>
      <c r="S226" t="s">
        <v>74</v>
      </c>
      <c r="T226" t="s">
        <v>2170</v>
      </c>
      <c r="U226" t="s">
        <v>74</v>
      </c>
      <c r="V226" t="s">
        <v>2171</v>
      </c>
      <c r="W226" s="1" t="s">
        <v>2172</v>
      </c>
      <c r="X226" t="s">
        <v>84</v>
      </c>
      <c r="Y226" t="s">
        <v>2173</v>
      </c>
      <c r="Z226" t="s">
        <v>2174</v>
      </c>
      <c r="AA226" t="s">
        <v>74</v>
      </c>
      <c r="AB226" t="s">
        <v>74</v>
      </c>
      <c r="AC226" t="s">
        <v>74</v>
      </c>
      <c r="AD226" t="s">
        <v>74</v>
      </c>
      <c r="AE226" t="s">
        <v>74</v>
      </c>
      <c r="AF226" t="s">
        <v>2175</v>
      </c>
      <c r="AG226">
        <v>38</v>
      </c>
      <c r="AH226">
        <v>0</v>
      </c>
      <c r="AI226">
        <v>0</v>
      </c>
      <c r="AJ226">
        <v>0</v>
      </c>
      <c r="AK226">
        <v>0</v>
      </c>
      <c r="AL226" t="s">
        <v>1930</v>
      </c>
      <c r="AM226" t="s">
        <v>1931</v>
      </c>
      <c r="AN226" t="s">
        <v>1932</v>
      </c>
      <c r="AO226" t="s">
        <v>2176</v>
      </c>
      <c r="AP226" t="s">
        <v>2177</v>
      </c>
      <c r="AQ226" t="s">
        <v>74</v>
      </c>
      <c r="AR226" t="s">
        <v>2178</v>
      </c>
      <c r="AS226" t="s">
        <v>2179</v>
      </c>
      <c r="AT226" t="s">
        <v>74</v>
      </c>
      <c r="AU226">
        <v>2023</v>
      </c>
      <c r="AV226">
        <v>28</v>
      </c>
      <c r="AW226">
        <v>1</v>
      </c>
      <c r="AX226" t="s">
        <v>74</v>
      </c>
      <c r="AY226" t="s">
        <v>74</v>
      </c>
      <c r="AZ226" t="s">
        <v>74</v>
      </c>
      <c r="BA226" t="s">
        <v>74</v>
      </c>
      <c r="BB226">
        <v>25</v>
      </c>
      <c r="BC226">
        <v>25</v>
      </c>
      <c r="BD226" t="s">
        <v>74</v>
      </c>
      <c r="BE226" t="s">
        <v>74</v>
      </c>
      <c r="BF226" t="s">
        <v>74</v>
      </c>
      <c r="BG226" t="s">
        <v>74</v>
      </c>
      <c r="BH226" t="s">
        <v>74</v>
      </c>
      <c r="BI226">
        <v>1</v>
      </c>
      <c r="BJ226" t="s">
        <v>1488</v>
      </c>
      <c r="BK226" t="s">
        <v>187</v>
      </c>
      <c r="BL226" t="s">
        <v>1488</v>
      </c>
      <c r="BM226" t="s">
        <v>2180</v>
      </c>
      <c r="BN226" t="s">
        <v>74</v>
      </c>
      <c r="BO226" t="s">
        <v>74</v>
      </c>
      <c r="BP226" t="s">
        <v>74</v>
      </c>
      <c r="BQ226" t="s">
        <v>74</v>
      </c>
      <c r="BR226" t="s">
        <v>105</v>
      </c>
      <c r="BS226" t="s">
        <v>2181</v>
      </c>
      <c r="BT226" t="str">
        <f>HYPERLINK("https%3A%2F%2Fwww.webofscience.com%2Fwos%2Fwoscc%2Ffull-record%2FWOS:000944453600005","View Full Record in Web of Science")</f>
        <v>View Full Record in Web of Science</v>
      </c>
    </row>
    <row r="227" spans="1:72" x14ac:dyDescent="0.2">
      <c r="A227" t="s">
        <v>72</v>
      </c>
      <c r="B227" t="s">
        <v>133</v>
      </c>
      <c r="C227" t="s">
        <v>74</v>
      </c>
      <c r="D227" t="s">
        <v>74</v>
      </c>
      <c r="E227" t="s">
        <v>74</v>
      </c>
      <c r="F227" t="s">
        <v>134</v>
      </c>
      <c r="G227" t="s">
        <v>74</v>
      </c>
      <c r="H227" t="s">
        <v>74</v>
      </c>
      <c r="I227" t="s">
        <v>135</v>
      </c>
      <c r="J227" t="s">
        <v>136</v>
      </c>
      <c r="K227" t="s">
        <v>74</v>
      </c>
      <c r="L227" t="s">
        <v>74</v>
      </c>
      <c r="M227" t="s">
        <v>78</v>
      </c>
      <c r="N227" t="s">
        <v>137</v>
      </c>
      <c r="O227" t="s">
        <v>74</v>
      </c>
      <c r="P227" t="s">
        <v>74</v>
      </c>
      <c r="Q227" t="s">
        <v>74</v>
      </c>
      <c r="R227" t="s">
        <v>74</v>
      </c>
      <c r="S227" t="s">
        <v>74</v>
      </c>
      <c r="T227" t="s">
        <v>138</v>
      </c>
      <c r="U227" t="s">
        <v>139</v>
      </c>
      <c r="V227" t="s">
        <v>140</v>
      </c>
      <c r="W227" s="1" t="s">
        <v>141</v>
      </c>
      <c r="X227" t="s">
        <v>142</v>
      </c>
      <c r="Y227" t="s">
        <v>143</v>
      </c>
      <c r="Z227" t="s">
        <v>144</v>
      </c>
      <c r="AA227" t="s">
        <v>74</v>
      </c>
      <c r="AB227" t="s">
        <v>145</v>
      </c>
      <c r="AC227" t="s">
        <v>146</v>
      </c>
      <c r="AD227" t="s">
        <v>147</v>
      </c>
      <c r="AE227" t="s">
        <v>148</v>
      </c>
      <c r="AF227" t="s">
        <v>149</v>
      </c>
      <c r="AG227">
        <v>45</v>
      </c>
      <c r="AH227">
        <v>0</v>
      </c>
      <c r="AI227">
        <v>0</v>
      </c>
      <c r="AJ227">
        <v>2</v>
      </c>
      <c r="AK227">
        <v>2</v>
      </c>
      <c r="AL227" t="s">
        <v>150</v>
      </c>
      <c r="AM227" t="s">
        <v>151</v>
      </c>
      <c r="AN227" t="s">
        <v>152</v>
      </c>
      <c r="AO227" t="s">
        <v>153</v>
      </c>
      <c r="AP227" t="s">
        <v>154</v>
      </c>
      <c r="AQ227" t="s">
        <v>74</v>
      </c>
      <c r="AR227" t="s">
        <v>136</v>
      </c>
      <c r="AS227" t="s">
        <v>155</v>
      </c>
      <c r="AT227" t="s">
        <v>156</v>
      </c>
      <c r="AU227">
        <v>2022</v>
      </c>
      <c r="AV227" t="s">
        <v>74</v>
      </c>
      <c r="AW227" t="s">
        <v>74</v>
      </c>
      <c r="AX227" t="s">
        <v>74</v>
      </c>
      <c r="AY227" t="s">
        <v>74</v>
      </c>
      <c r="AZ227" t="s">
        <v>74</v>
      </c>
      <c r="BA227" t="s">
        <v>74</v>
      </c>
      <c r="BB227" t="s">
        <v>74</v>
      </c>
      <c r="BC227" t="s">
        <v>74</v>
      </c>
      <c r="BD227" t="s">
        <v>74</v>
      </c>
      <c r="BE227" t="s">
        <v>157</v>
      </c>
      <c r="BF227" t="str">
        <f>HYPERLINK("http://dx.doi.org/10.1007/s10341-022-00793-5","http://dx.doi.org/10.1007/s10341-022-00793-5")</f>
        <v>http://dx.doi.org/10.1007/s10341-022-00793-5</v>
      </c>
      <c r="BG227" t="s">
        <v>74</v>
      </c>
      <c r="BH227" t="s">
        <v>158</v>
      </c>
      <c r="BI227">
        <v>10</v>
      </c>
      <c r="BJ227" t="s">
        <v>159</v>
      </c>
      <c r="BK227" t="s">
        <v>102</v>
      </c>
      <c r="BL227" t="s">
        <v>160</v>
      </c>
      <c r="BM227" t="s">
        <v>161</v>
      </c>
      <c r="BN227" t="s">
        <v>74</v>
      </c>
      <c r="BO227" t="s">
        <v>74</v>
      </c>
      <c r="BP227" t="s">
        <v>74</v>
      </c>
      <c r="BQ227" t="s">
        <v>74</v>
      </c>
      <c r="BR227" t="s">
        <v>105</v>
      </c>
      <c r="BS227" t="s">
        <v>162</v>
      </c>
      <c r="BT227" t="str">
        <f>HYPERLINK("https%3A%2F%2Fwww.webofscience.com%2Fwos%2Fwoscc%2Ffull-record%2FWOS:000899494200001","View Full Record in Web of Science")</f>
        <v>View Full Record in Web of Science</v>
      </c>
    </row>
    <row r="228" spans="1:72" x14ac:dyDescent="0.2">
      <c r="A228" t="s">
        <v>72</v>
      </c>
      <c r="B228" t="s">
        <v>4277</v>
      </c>
      <c r="C228" t="s">
        <v>74</v>
      </c>
      <c r="D228" t="s">
        <v>74</v>
      </c>
      <c r="E228" t="s">
        <v>74</v>
      </c>
      <c r="F228" t="s">
        <v>4278</v>
      </c>
      <c r="G228" t="s">
        <v>74</v>
      </c>
      <c r="H228" t="s">
        <v>74</v>
      </c>
      <c r="I228" t="s">
        <v>4279</v>
      </c>
      <c r="J228" t="s">
        <v>4280</v>
      </c>
      <c r="K228" t="s">
        <v>74</v>
      </c>
      <c r="L228" t="s">
        <v>74</v>
      </c>
      <c r="M228" t="s">
        <v>78</v>
      </c>
      <c r="N228" t="s">
        <v>79</v>
      </c>
      <c r="O228" t="s">
        <v>74</v>
      </c>
      <c r="P228" t="s">
        <v>74</v>
      </c>
      <c r="Q228" t="s">
        <v>74</v>
      </c>
      <c r="R228" t="s">
        <v>74</v>
      </c>
      <c r="S228" t="s">
        <v>74</v>
      </c>
      <c r="T228" t="s">
        <v>4281</v>
      </c>
      <c r="U228" t="s">
        <v>74</v>
      </c>
      <c r="V228" t="s">
        <v>4282</v>
      </c>
      <c r="W228" s="1" t="s">
        <v>4283</v>
      </c>
      <c r="X228" t="s">
        <v>772</v>
      </c>
      <c r="Y228" t="s">
        <v>4284</v>
      </c>
      <c r="Z228" t="s">
        <v>430</v>
      </c>
      <c r="AA228" t="s">
        <v>639</v>
      </c>
      <c r="AB228" t="s">
        <v>432</v>
      </c>
      <c r="AC228" t="s">
        <v>4285</v>
      </c>
      <c r="AD228" t="s">
        <v>4286</v>
      </c>
      <c r="AE228" t="s">
        <v>4287</v>
      </c>
      <c r="AF228" t="s">
        <v>4288</v>
      </c>
      <c r="AG228">
        <v>18</v>
      </c>
      <c r="AH228">
        <v>1</v>
      </c>
      <c r="AI228">
        <v>1</v>
      </c>
      <c r="AJ228">
        <v>2</v>
      </c>
      <c r="AK228">
        <v>30</v>
      </c>
      <c r="AL228" t="s">
        <v>4289</v>
      </c>
      <c r="AM228" t="s">
        <v>4290</v>
      </c>
      <c r="AN228" t="s">
        <v>4291</v>
      </c>
      <c r="AO228" t="s">
        <v>4292</v>
      </c>
      <c r="AP228" t="s">
        <v>74</v>
      </c>
      <c r="AQ228" t="s">
        <v>74</v>
      </c>
      <c r="AR228" t="s">
        <v>4293</v>
      </c>
      <c r="AS228" t="s">
        <v>4294</v>
      </c>
      <c r="AT228" t="s">
        <v>74</v>
      </c>
      <c r="AU228">
        <v>2022</v>
      </c>
      <c r="AV228">
        <v>79</v>
      </c>
      <c r="AW228">
        <v>4</v>
      </c>
      <c r="AX228" t="s">
        <v>74</v>
      </c>
      <c r="AY228" t="s">
        <v>74</v>
      </c>
      <c r="AZ228" t="s">
        <v>74</v>
      </c>
      <c r="BA228" t="s">
        <v>74</v>
      </c>
      <c r="BB228" t="s">
        <v>74</v>
      </c>
      <c r="BC228" t="s">
        <v>74</v>
      </c>
      <c r="BD228" t="s">
        <v>4295</v>
      </c>
      <c r="BE228" t="s">
        <v>4296</v>
      </c>
      <c r="BF228" t="str">
        <f>HYPERLINK("http://dx.doi.org/10.1590/1678-992X-2021-0017","http://dx.doi.org/10.1590/1678-992X-2021-0017")</f>
        <v>http://dx.doi.org/10.1590/1678-992X-2021-0017</v>
      </c>
      <c r="BG228" t="s">
        <v>74</v>
      </c>
      <c r="BH228" t="s">
        <v>74</v>
      </c>
      <c r="BI228">
        <v>6</v>
      </c>
      <c r="BJ228" t="s">
        <v>787</v>
      </c>
      <c r="BK228" t="s">
        <v>102</v>
      </c>
      <c r="BL228" t="s">
        <v>160</v>
      </c>
      <c r="BM228" t="s">
        <v>4297</v>
      </c>
      <c r="BN228" t="s">
        <v>74</v>
      </c>
      <c r="BO228" t="s">
        <v>131</v>
      </c>
      <c r="BP228" t="s">
        <v>74</v>
      </c>
      <c r="BQ228" t="s">
        <v>74</v>
      </c>
      <c r="BR228" t="s">
        <v>105</v>
      </c>
      <c r="BS228" t="s">
        <v>4298</v>
      </c>
      <c r="BT228" t="str">
        <f>HYPERLINK("https%3A%2F%2Fwww.webofscience.com%2Fwos%2Fwoscc%2Ffull-record%2FWOS:000679803900001","View Full Record in Web of Science")</f>
        <v>View Full Record in Web of Science</v>
      </c>
    </row>
    <row r="229" spans="1:72" x14ac:dyDescent="0.2">
      <c r="A229" t="s">
        <v>72</v>
      </c>
      <c r="B229" t="s">
        <v>421</v>
      </c>
      <c r="C229" t="s">
        <v>74</v>
      </c>
      <c r="D229" t="s">
        <v>74</v>
      </c>
      <c r="E229" t="s">
        <v>74</v>
      </c>
      <c r="F229" t="s">
        <v>422</v>
      </c>
      <c r="G229" t="s">
        <v>74</v>
      </c>
      <c r="H229" t="s">
        <v>74</v>
      </c>
      <c r="I229" t="s">
        <v>423</v>
      </c>
      <c r="J229" t="s">
        <v>424</v>
      </c>
      <c r="K229" t="s">
        <v>74</v>
      </c>
      <c r="L229" t="s">
        <v>74</v>
      </c>
      <c r="M229" t="s">
        <v>78</v>
      </c>
      <c r="N229" t="s">
        <v>137</v>
      </c>
      <c r="O229" t="s">
        <v>74</v>
      </c>
      <c r="P229" t="s">
        <v>74</v>
      </c>
      <c r="Q229" t="s">
        <v>74</v>
      </c>
      <c r="R229" t="s">
        <v>74</v>
      </c>
      <c r="S229" t="s">
        <v>74</v>
      </c>
      <c r="T229" t="s">
        <v>425</v>
      </c>
      <c r="U229" t="s">
        <v>426</v>
      </c>
      <c r="V229" t="s">
        <v>427</v>
      </c>
      <c r="W229" s="1" t="s">
        <v>428</v>
      </c>
      <c r="X229" t="s">
        <v>284</v>
      </c>
      <c r="Y229" t="s">
        <v>429</v>
      </c>
      <c r="Z229" t="s">
        <v>430</v>
      </c>
      <c r="AA229" t="s">
        <v>431</v>
      </c>
      <c r="AB229" t="s">
        <v>432</v>
      </c>
      <c r="AC229" t="s">
        <v>433</v>
      </c>
      <c r="AD229" t="s">
        <v>434</v>
      </c>
      <c r="AE229" t="s">
        <v>435</v>
      </c>
      <c r="AF229" t="s">
        <v>436</v>
      </c>
      <c r="AG229">
        <v>36</v>
      </c>
      <c r="AH229">
        <v>0</v>
      </c>
      <c r="AI229">
        <v>0</v>
      </c>
      <c r="AJ229">
        <v>4</v>
      </c>
      <c r="AK229">
        <v>4</v>
      </c>
      <c r="AL229" t="s">
        <v>437</v>
      </c>
      <c r="AM229" t="s">
        <v>208</v>
      </c>
      <c r="AN229" t="s">
        <v>438</v>
      </c>
      <c r="AO229" t="s">
        <v>439</v>
      </c>
      <c r="AP229" t="s">
        <v>440</v>
      </c>
      <c r="AQ229" t="s">
        <v>74</v>
      </c>
      <c r="AR229" t="s">
        <v>441</v>
      </c>
      <c r="AS229" t="s">
        <v>442</v>
      </c>
      <c r="AT229" t="s">
        <v>443</v>
      </c>
      <c r="AU229">
        <v>2023</v>
      </c>
      <c r="AV229" t="s">
        <v>74</v>
      </c>
      <c r="AW229" t="s">
        <v>74</v>
      </c>
      <c r="AX229" t="s">
        <v>74</v>
      </c>
      <c r="AY229" t="s">
        <v>74</v>
      </c>
      <c r="AZ229" t="s">
        <v>74</v>
      </c>
      <c r="BA229" t="s">
        <v>74</v>
      </c>
      <c r="BB229" t="s">
        <v>74</v>
      </c>
      <c r="BC229" t="s">
        <v>74</v>
      </c>
      <c r="BD229" t="s">
        <v>444</v>
      </c>
      <c r="BE229" t="s">
        <v>445</v>
      </c>
      <c r="BF229" t="str">
        <f>HYPERLINK("http://dx.doi.org/10.1017/S1479262123000060","http://dx.doi.org/10.1017/S1479262123000060")</f>
        <v>http://dx.doi.org/10.1017/S1479262123000060</v>
      </c>
      <c r="BG229" t="s">
        <v>74</v>
      </c>
      <c r="BH229" t="s">
        <v>446</v>
      </c>
      <c r="BI229">
        <v>7</v>
      </c>
      <c r="BJ229" t="s">
        <v>447</v>
      </c>
      <c r="BK229" t="s">
        <v>102</v>
      </c>
      <c r="BL229" t="s">
        <v>447</v>
      </c>
      <c r="BM229" t="s">
        <v>448</v>
      </c>
      <c r="BN229" t="s">
        <v>74</v>
      </c>
      <c r="BO229" t="s">
        <v>74</v>
      </c>
      <c r="BP229" t="s">
        <v>74</v>
      </c>
      <c r="BQ229" t="s">
        <v>74</v>
      </c>
      <c r="BR229" t="s">
        <v>105</v>
      </c>
      <c r="BS229" t="s">
        <v>449</v>
      </c>
      <c r="BT229" t="str">
        <f>HYPERLINK("https%3A%2F%2Fwww.webofscience.com%2Fwos%2Fwoscc%2Ffull-record%2FWOS:000943494800001","View Full Record in Web of Science")</f>
        <v>View Full Record in Web of Science</v>
      </c>
    </row>
    <row r="230" spans="1:72" x14ac:dyDescent="0.2">
      <c r="A230" t="s">
        <v>72</v>
      </c>
      <c r="B230" t="s">
        <v>3671</v>
      </c>
      <c r="C230" t="s">
        <v>74</v>
      </c>
      <c r="D230" t="s">
        <v>74</v>
      </c>
      <c r="E230" t="s">
        <v>74</v>
      </c>
      <c r="F230" t="s">
        <v>3672</v>
      </c>
      <c r="G230" t="s">
        <v>74</v>
      </c>
      <c r="H230" t="s">
        <v>74</v>
      </c>
      <c r="I230" t="s">
        <v>3673</v>
      </c>
      <c r="J230" t="s">
        <v>3674</v>
      </c>
      <c r="K230" t="s">
        <v>74</v>
      </c>
      <c r="L230" t="s">
        <v>74</v>
      </c>
      <c r="M230" t="s">
        <v>78</v>
      </c>
      <c r="N230" t="s">
        <v>79</v>
      </c>
      <c r="O230" t="s">
        <v>74</v>
      </c>
      <c r="P230" t="s">
        <v>74</v>
      </c>
      <c r="Q230" t="s">
        <v>74</v>
      </c>
      <c r="R230" t="s">
        <v>74</v>
      </c>
      <c r="S230" t="s">
        <v>74</v>
      </c>
      <c r="T230" t="s">
        <v>3675</v>
      </c>
      <c r="U230" t="s">
        <v>3676</v>
      </c>
      <c r="V230" t="s">
        <v>3677</v>
      </c>
      <c r="W230" s="1" t="s">
        <v>3678</v>
      </c>
      <c r="X230" t="s">
        <v>84</v>
      </c>
      <c r="Y230" t="s">
        <v>3679</v>
      </c>
      <c r="Z230" t="s">
        <v>3680</v>
      </c>
      <c r="AA230" t="s">
        <v>74</v>
      </c>
      <c r="AB230" t="s">
        <v>74</v>
      </c>
      <c r="AC230" t="s">
        <v>3681</v>
      </c>
      <c r="AD230" t="s">
        <v>3681</v>
      </c>
      <c r="AE230" t="s">
        <v>3682</v>
      </c>
      <c r="AF230" t="s">
        <v>3683</v>
      </c>
      <c r="AG230">
        <v>55</v>
      </c>
      <c r="AH230">
        <v>0</v>
      </c>
      <c r="AI230">
        <v>0</v>
      </c>
      <c r="AJ230">
        <v>0</v>
      </c>
      <c r="AK230">
        <v>0</v>
      </c>
      <c r="AL230" t="s">
        <v>3684</v>
      </c>
      <c r="AM230" t="s">
        <v>3685</v>
      </c>
      <c r="AN230" t="s">
        <v>3686</v>
      </c>
      <c r="AO230" t="s">
        <v>3687</v>
      </c>
      <c r="AP230" t="s">
        <v>3688</v>
      </c>
      <c r="AQ230" t="s">
        <v>74</v>
      </c>
      <c r="AR230" t="s">
        <v>3689</v>
      </c>
      <c r="AS230" t="s">
        <v>3690</v>
      </c>
      <c r="AT230" t="s">
        <v>242</v>
      </c>
      <c r="AU230">
        <v>2022</v>
      </c>
      <c r="AV230">
        <v>22</v>
      </c>
      <c r="AW230" t="s">
        <v>2642</v>
      </c>
      <c r="AX230" t="s">
        <v>74</v>
      </c>
      <c r="AY230" t="s">
        <v>74</v>
      </c>
      <c r="AZ230" t="s">
        <v>74</v>
      </c>
      <c r="BA230" t="s">
        <v>74</v>
      </c>
      <c r="BB230">
        <v>324</v>
      </c>
      <c r="BC230">
        <v>337</v>
      </c>
      <c r="BD230" t="s">
        <v>74</v>
      </c>
      <c r="BE230" t="s">
        <v>3691</v>
      </c>
      <c r="BF230" t="str">
        <f>HYPERLINK("http://dx.doi.org/10.1163/15685373-12340136","http://dx.doi.org/10.1163/15685373-12340136")</f>
        <v>http://dx.doi.org/10.1163/15685373-12340136</v>
      </c>
      <c r="BG230" t="s">
        <v>74</v>
      </c>
      <c r="BH230" t="s">
        <v>74</v>
      </c>
      <c r="BI230">
        <v>14</v>
      </c>
      <c r="BJ230" t="s">
        <v>2200</v>
      </c>
      <c r="BK230" t="s">
        <v>187</v>
      </c>
      <c r="BL230" t="s">
        <v>2201</v>
      </c>
      <c r="BM230" t="s">
        <v>3692</v>
      </c>
      <c r="BN230" t="s">
        <v>74</v>
      </c>
      <c r="BO230" t="s">
        <v>74</v>
      </c>
      <c r="BP230" t="s">
        <v>74</v>
      </c>
      <c r="BQ230" t="s">
        <v>74</v>
      </c>
      <c r="BR230" t="s">
        <v>105</v>
      </c>
      <c r="BS230" t="s">
        <v>3693</v>
      </c>
      <c r="BT230" t="str">
        <f>HYPERLINK("https%3A%2F%2Fwww.webofscience.com%2Fwos%2Fwoscc%2Ffull-record%2FWOS:000876332100007","View Full Record in Web of Science")</f>
        <v>View Full Record in Web of Science</v>
      </c>
    </row>
    <row r="231" spans="1:72" x14ac:dyDescent="0.2">
      <c r="A231" t="s">
        <v>72</v>
      </c>
      <c r="B231" t="s">
        <v>4009</v>
      </c>
      <c r="C231" t="s">
        <v>74</v>
      </c>
      <c r="D231" t="s">
        <v>74</v>
      </c>
      <c r="E231" t="s">
        <v>74</v>
      </c>
      <c r="F231" t="s">
        <v>4010</v>
      </c>
      <c r="G231" t="s">
        <v>74</v>
      </c>
      <c r="H231" t="s">
        <v>74</v>
      </c>
      <c r="I231" t="s">
        <v>4011</v>
      </c>
      <c r="J231" t="s">
        <v>4012</v>
      </c>
      <c r="K231" t="s">
        <v>74</v>
      </c>
      <c r="L231" t="s">
        <v>74</v>
      </c>
      <c r="M231" t="s">
        <v>1517</v>
      </c>
      <c r="N231" t="s">
        <v>79</v>
      </c>
      <c r="O231" t="s">
        <v>74</v>
      </c>
      <c r="P231" t="s">
        <v>74</v>
      </c>
      <c r="Q231" t="s">
        <v>74</v>
      </c>
      <c r="R231" t="s">
        <v>74</v>
      </c>
      <c r="S231" t="s">
        <v>74</v>
      </c>
      <c r="T231" t="s">
        <v>4013</v>
      </c>
      <c r="U231" t="s">
        <v>74</v>
      </c>
      <c r="V231" t="s">
        <v>4014</v>
      </c>
      <c r="W231" s="1" t="s">
        <v>4015</v>
      </c>
      <c r="X231" t="s">
        <v>4016</v>
      </c>
      <c r="Y231" t="s">
        <v>4017</v>
      </c>
      <c r="Z231" t="s">
        <v>4018</v>
      </c>
      <c r="AA231" t="s">
        <v>74</v>
      </c>
      <c r="AB231" t="s">
        <v>74</v>
      </c>
      <c r="AC231" t="s">
        <v>74</v>
      </c>
      <c r="AD231" t="s">
        <v>74</v>
      </c>
      <c r="AE231" t="s">
        <v>74</v>
      </c>
      <c r="AF231" t="s">
        <v>4019</v>
      </c>
      <c r="AG231">
        <v>50</v>
      </c>
      <c r="AH231">
        <v>0</v>
      </c>
      <c r="AI231">
        <v>0</v>
      </c>
      <c r="AJ231">
        <v>0</v>
      </c>
      <c r="AK231">
        <v>0</v>
      </c>
      <c r="AL231" t="s">
        <v>4020</v>
      </c>
      <c r="AM231" t="s">
        <v>547</v>
      </c>
      <c r="AN231" t="s">
        <v>4021</v>
      </c>
      <c r="AO231" t="s">
        <v>4022</v>
      </c>
      <c r="AP231" t="s">
        <v>74</v>
      </c>
      <c r="AQ231" t="s">
        <v>74</v>
      </c>
      <c r="AR231" t="s">
        <v>4023</v>
      </c>
      <c r="AS231" t="s">
        <v>4024</v>
      </c>
      <c r="AT231" t="s">
        <v>1753</v>
      </c>
      <c r="AU231">
        <v>2022</v>
      </c>
      <c r="AV231">
        <v>10</v>
      </c>
      <c r="AW231">
        <v>1</v>
      </c>
      <c r="AX231" t="s">
        <v>74</v>
      </c>
      <c r="AY231" t="s">
        <v>74</v>
      </c>
      <c r="AZ231" t="s">
        <v>74</v>
      </c>
      <c r="BA231" t="s">
        <v>74</v>
      </c>
      <c r="BB231">
        <v>3</v>
      </c>
      <c r="BC231">
        <v>13</v>
      </c>
      <c r="BD231" t="s">
        <v>74</v>
      </c>
      <c r="BE231" t="s">
        <v>74</v>
      </c>
      <c r="BF231" t="s">
        <v>74</v>
      </c>
      <c r="BG231" t="s">
        <v>74</v>
      </c>
      <c r="BH231" t="s">
        <v>74</v>
      </c>
      <c r="BI231">
        <v>11</v>
      </c>
      <c r="BJ231" t="s">
        <v>4025</v>
      </c>
      <c r="BK231" t="s">
        <v>187</v>
      </c>
      <c r="BL231" t="s">
        <v>4025</v>
      </c>
      <c r="BM231" t="s">
        <v>4026</v>
      </c>
      <c r="BN231" t="s">
        <v>74</v>
      </c>
      <c r="BO231" t="s">
        <v>74</v>
      </c>
      <c r="BP231" t="s">
        <v>74</v>
      </c>
      <c r="BQ231" t="s">
        <v>74</v>
      </c>
      <c r="BR231" t="s">
        <v>105</v>
      </c>
      <c r="BS231" t="s">
        <v>4027</v>
      </c>
      <c r="BT231" t="str">
        <f>HYPERLINK("https%3A%2F%2Fwww.webofscience.com%2Fwos%2Fwoscc%2Ffull-record%2FWOS:000870781100002","View Full Record in Web of Science")</f>
        <v>View Full Record in Web of Science</v>
      </c>
    </row>
    <row r="232" spans="1:72" x14ac:dyDescent="0.2">
      <c r="A232" t="s">
        <v>72</v>
      </c>
      <c r="B232" t="s">
        <v>966</v>
      </c>
      <c r="C232" t="s">
        <v>74</v>
      </c>
      <c r="D232" t="s">
        <v>74</v>
      </c>
      <c r="E232" t="s">
        <v>74</v>
      </c>
      <c r="F232" t="s">
        <v>967</v>
      </c>
      <c r="G232" t="s">
        <v>74</v>
      </c>
      <c r="H232" t="s">
        <v>74</v>
      </c>
      <c r="I232" t="s">
        <v>968</v>
      </c>
      <c r="J232" t="s">
        <v>396</v>
      </c>
      <c r="K232" t="s">
        <v>74</v>
      </c>
      <c r="L232" t="s">
        <v>74</v>
      </c>
      <c r="M232" t="s">
        <v>78</v>
      </c>
      <c r="N232" t="s">
        <v>79</v>
      </c>
      <c r="O232" t="s">
        <v>74</v>
      </c>
      <c r="P232" t="s">
        <v>74</v>
      </c>
      <c r="Q232" t="s">
        <v>74</v>
      </c>
      <c r="R232" t="s">
        <v>74</v>
      </c>
      <c r="S232" t="s">
        <v>74</v>
      </c>
      <c r="T232" t="s">
        <v>969</v>
      </c>
      <c r="U232" t="s">
        <v>970</v>
      </c>
      <c r="V232" t="s">
        <v>971</v>
      </c>
      <c r="W232" s="1" t="s">
        <v>972</v>
      </c>
      <c r="X232" t="s">
        <v>973</v>
      </c>
      <c r="Y232" t="s">
        <v>974</v>
      </c>
      <c r="Z232" t="s">
        <v>975</v>
      </c>
      <c r="AA232" t="s">
        <v>74</v>
      </c>
      <c r="AB232" t="s">
        <v>74</v>
      </c>
      <c r="AC232" t="s">
        <v>976</v>
      </c>
      <c r="AD232" t="s">
        <v>977</v>
      </c>
      <c r="AE232" t="s">
        <v>978</v>
      </c>
      <c r="AF232" t="s">
        <v>979</v>
      </c>
      <c r="AG232">
        <v>35</v>
      </c>
      <c r="AH232">
        <v>0</v>
      </c>
      <c r="AI232">
        <v>0</v>
      </c>
      <c r="AJ232">
        <v>0</v>
      </c>
      <c r="AK232">
        <v>0</v>
      </c>
      <c r="AL232" t="s">
        <v>409</v>
      </c>
      <c r="AM232" t="s">
        <v>410</v>
      </c>
      <c r="AN232" t="s">
        <v>411</v>
      </c>
      <c r="AO232" t="s">
        <v>412</v>
      </c>
      <c r="AP232" t="s">
        <v>413</v>
      </c>
      <c r="AQ232" t="s">
        <v>74</v>
      </c>
      <c r="AR232" t="s">
        <v>414</v>
      </c>
      <c r="AS232" t="s">
        <v>415</v>
      </c>
      <c r="AT232" t="s">
        <v>980</v>
      </c>
      <c r="AU232">
        <v>2023</v>
      </c>
      <c r="AV232" t="s">
        <v>74</v>
      </c>
      <c r="AW232">
        <v>107</v>
      </c>
      <c r="AX232" t="s">
        <v>74</v>
      </c>
      <c r="AY232" t="s">
        <v>74</v>
      </c>
      <c r="AZ232" t="s">
        <v>74</v>
      </c>
      <c r="BA232" t="s">
        <v>74</v>
      </c>
      <c r="BB232">
        <v>88</v>
      </c>
      <c r="BC232">
        <v>101</v>
      </c>
      <c r="BD232" t="s">
        <v>74</v>
      </c>
      <c r="BE232" t="s">
        <v>981</v>
      </c>
      <c r="BF232" t="str">
        <f>HYPERLINK("http://dx.doi.org/10.17533/udea.redin.20211063","http://dx.doi.org/10.17533/udea.redin.20211063")</f>
        <v>http://dx.doi.org/10.17533/udea.redin.20211063</v>
      </c>
      <c r="BG232" t="s">
        <v>74</v>
      </c>
      <c r="BH232" t="s">
        <v>74</v>
      </c>
      <c r="BI232">
        <v>14</v>
      </c>
      <c r="BJ232" t="s">
        <v>323</v>
      </c>
      <c r="BK232" t="s">
        <v>187</v>
      </c>
      <c r="BL232" t="s">
        <v>324</v>
      </c>
      <c r="BM232" t="s">
        <v>982</v>
      </c>
      <c r="BN232" t="s">
        <v>74</v>
      </c>
      <c r="BO232" t="s">
        <v>104</v>
      </c>
      <c r="BP232" t="s">
        <v>74</v>
      </c>
      <c r="BQ232" t="s">
        <v>74</v>
      </c>
      <c r="BR232" t="s">
        <v>105</v>
      </c>
      <c r="BS232" t="s">
        <v>983</v>
      </c>
      <c r="BT232" t="str">
        <f>HYPERLINK("https%3A%2F%2Fwww.webofscience.com%2Fwos%2Fwoscc%2Ffull-record%2FWOS:000937341400008","View Full Record in Web of Science")</f>
        <v>View Full Record in Web of Science</v>
      </c>
    </row>
    <row r="233" spans="1:72" x14ac:dyDescent="0.2">
      <c r="A233" t="s">
        <v>72</v>
      </c>
      <c r="B233" t="s">
        <v>5282</v>
      </c>
      <c r="C233" t="s">
        <v>74</v>
      </c>
      <c r="D233" t="s">
        <v>74</v>
      </c>
      <c r="E233" t="s">
        <v>74</v>
      </c>
      <c r="F233" t="s">
        <v>5283</v>
      </c>
      <c r="G233" t="s">
        <v>74</v>
      </c>
      <c r="H233" t="s">
        <v>74</v>
      </c>
      <c r="I233" t="s">
        <v>5284</v>
      </c>
      <c r="J233" t="s">
        <v>5285</v>
      </c>
      <c r="K233" t="s">
        <v>74</v>
      </c>
      <c r="L233" t="s">
        <v>74</v>
      </c>
      <c r="M233" t="s">
        <v>78</v>
      </c>
      <c r="N233" t="s">
        <v>79</v>
      </c>
      <c r="O233" t="s">
        <v>74</v>
      </c>
      <c r="P233" t="s">
        <v>74</v>
      </c>
      <c r="Q233" t="s">
        <v>74</v>
      </c>
      <c r="R233" t="s">
        <v>74</v>
      </c>
      <c r="S233" t="s">
        <v>74</v>
      </c>
      <c r="T233" t="s">
        <v>5286</v>
      </c>
      <c r="U233" t="s">
        <v>5287</v>
      </c>
      <c r="V233" t="s">
        <v>5288</v>
      </c>
      <c r="W233" s="1" t="s">
        <v>5289</v>
      </c>
      <c r="X233" t="s">
        <v>5290</v>
      </c>
      <c r="Y233" t="s">
        <v>5291</v>
      </c>
      <c r="Z233" t="s">
        <v>5292</v>
      </c>
      <c r="AA233" t="s">
        <v>74</v>
      </c>
      <c r="AB233" t="s">
        <v>74</v>
      </c>
      <c r="AC233" t="s">
        <v>74</v>
      </c>
      <c r="AD233" t="s">
        <v>74</v>
      </c>
      <c r="AE233" t="s">
        <v>74</v>
      </c>
      <c r="AF233" t="s">
        <v>5293</v>
      </c>
      <c r="AG233">
        <v>55</v>
      </c>
      <c r="AH233">
        <v>0</v>
      </c>
      <c r="AI233">
        <v>0</v>
      </c>
      <c r="AJ233">
        <v>0</v>
      </c>
      <c r="AK233">
        <v>0</v>
      </c>
      <c r="AL233" t="s">
        <v>5294</v>
      </c>
      <c r="AM233" t="s">
        <v>410</v>
      </c>
      <c r="AN233" t="s">
        <v>5295</v>
      </c>
      <c r="AO233" t="s">
        <v>5296</v>
      </c>
      <c r="AP233" t="s">
        <v>5297</v>
      </c>
      <c r="AQ233" t="s">
        <v>74</v>
      </c>
      <c r="AR233" t="s">
        <v>5298</v>
      </c>
      <c r="AS233" t="s">
        <v>5299</v>
      </c>
      <c r="AT233" t="s">
        <v>74</v>
      </c>
      <c r="AU233">
        <v>2023</v>
      </c>
      <c r="AV233">
        <v>16</v>
      </c>
      <c r="AW233">
        <v>1</v>
      </c>
      <c r="AX233" t="s">
        <v>74</v>
      </c>
      <c r="AY233" t="s">
        <v>74</v>
      </c>
      <c r="AZ233" t="s">
        <v>74</v>
      </c>
      <c r="BA233" t="s">
        <v>74</v>
      </c>
      <c r="BB233">
        <v>29</v>
      </c>
      <c r="BC233">
        <v>40</v>
      </c>
      <c r="BD233" t="s">
        <v>74</v>
      </c>
      <c r="BE233" t="s">
        <v>5300</v>
      </c>
      <c r="BF233" t="str">
        <f>HYPERLINK("http://dx.doi.org/10.21500/20112084.5677","http://dx.doi.org/10.21500/20112084.5677")</f>
        <v>http://dx.doi.org/10.21500/20112084.5677</v>
      </c>
      <c r="BG233" t="s">
        <v>74</v>
      </c>
      <c r="BH233" t="s">
        <v>74</v>
      </c>
      <c r="BI233">
        <v>12</v>
      </c>
      <c r="BJ233" t="s">
        <v>2200</v>
      </c>
      <c r="BK233" t="s">
        <v>4335</v>
      </c>
      <c r="BL233" t="s">
        <v>2201</v>
      </c>
      <c r="BM233" t="s">
        <v>5301</v>
      </c>
      <c r="BN233" t="s">
        <v>74</v>
      </c>
      <c r="BO233" t="s">
        <v>74</v>
      </c>
      <c r="BP233" t="s">
        <v>74</v>
      </c>
      <c r="BQ233" t="s">
        <v>74</v>
      </c>
      <c r="BR233" t="s">
        <v>105</v>
      </c>
      <c r="BS233" t="s">
        <v>5302</v>
      </c>
      <c r="BT233" t="str">
        <f>HYPERLINK("https%3A%2F%2Fwww.webofscience.com%2Fwos%2Fwoscc%2Ffull-record%2FWOS:000984588100004","View Full Record in Web of Science")</f>
        <v>View Full Record in Web of Science</v>
      </c>
    </row>
    <row r="234" spans="1:72" x14ac:dyDescent="0.2">
      <c r="A234" t="s">
        <v>72</v>
      </c>
      <c r="B234" t="s">
        <v>3136</v>
      </c>
      <c r="C234" t="s">
        <v>74</v>
      </c>
      <c r="D234" t="s">
        <v>74</v>
      </c>
      <c r="E234" t="s">
        <v>74</v>
      </c>
      <c r="F234" t="s">
        <v>3137</v>
      </c>
      <c r="G234" t="s">
        <v>74</v>
      </c>
      <c r="H234" t="s">
        <v>74</v>
      </c>
      <c r="I234" t="s">
        <v>3138</v>
      </c>
      <c r="J234" t="s">
        <v>3139</v>
      </c>
      <c r="K234" t="s">
        <v>74</v>
      </c>
      <c r="L234" t="s">
        <v>74</v>
      </c>
      <c r="M234" t="s">
        <v>1517</v>
      </c>
      <c r="N234" t="s">
        <v>79</v>
      </c>
      <c r="O234" t="s">
        <v>74</v>
      </c>
      <c r="P234" t="s">
        <v>74</v>
      </c>
      <c r="Q234" t="s">
        <v>74</v>
      </c>
      <c r="R234" t="s">
        <v>74</v>
      </c>
      <c r="S234" t="s">
        <v>74</v>
      </c>
      <c r="T234" t="s">
        <v>3140</v>
      </c>
      <c r="U234" t="s">
        <v>3141</v>
      </c>
      <c r="V234" t="s">
        <v>3142</v>
      </c>
      <c r="W234" s="1" t="s">
        <v>3143</v>
      </c>
      <c r="X234" t="s">
        <v>84</v>
      </c>
      <c r="Y234" t="s">
        <v>3144</v>
      </c>
      <c r="Z234" t="s">
        <v>3145</v>
      </c>
      <c r="AA234" t="s">
        <v>74</v>
      </c>
      <c r="AB234" t="s">
        <v>74</v>
      </c>
      <c r="AC234" t="s">
        <v>74</v>
      </c>
      <c r="AD234" t="s">
        <v>74</v>
      </c>
      <c r="AE234" t="s">
        <v>74</v>
      </c>
      <c r="AF234" t="s">
        <v>3146</v>
      </c>
      <c r="AG234">
        <v>11</v>
      </c>
      <c r="AH234">
        <v>0</v>
      </c>
      <c r="AI234">
        <v>0</v>
      </c>
      <c r="AJ234">
        <v>0</v>
      </c>
      <c r="AK234">
        <v>1</v>
      </c>
      <c r="AL234" t="s">
        <v>3147</v>
      </c>
      <c r="AM234" t="s">
        <v>3148</v>
      </c>
      <c r="AN234" t="s">
        <v>3149</v>
      </c>
      <c r="AO234" t="s">
        <v>3150</v>
      </c>
      <c r="AP234" t="s">
        <v>74</v>
      </c>
      <c r="AQ234" t="s">
        <v>74</v>
      </c>
      <c r="AR234" t="s">
        <v>3151</v>
      </c>
      <c r="AS234" t="s">
        <v>3152</v>
      </c>
      <c r="AT234" t="s">
        <v>74</v>
      </c>
      <c r="AU234">
        <v>2022</v>
      </c>
      <c r="AV234">
        <v>32</v>
      </c>
      <c r="AW234" t="s">
        <v>74</v>
      </c>
      <c r="AX234" t="s">
        <v>74</v>
      </c>
      <c r="AY234" t="s">
        <v>74</v>
      </c>
      <c r="AZ234" t="s">
        <v>74</v>
      </c>
      <c r="BA234" t="s">
        <v>74</v>
      </c>
      <c r="BB234" t="s">
        <v>74</v>
      </c>
      <c r="BC234" t="s">
        <v>74</v>
      </c>
      <c r="BD234" t="s">
        <v>3153</v>
      </c>
      <c r="BE234" t="s">
        <v>3154</v>
      </c>
      <c r="BF234" t="str">
        <f>HYPERLINK("http://dx.doi.org/10.52973/rcfcy-e32071","http://dx.doi.org/10.52973/rcfcy-e32071")</f>
        <v>http://dx.doi.org/10.52973/rcfcy-e32071</v>
      </c>
      <c r="BG234" t="s">
        <v>74</v>
      </c>
      <c r="BH234" t="s">
        <v>74</v>
      </c>
      <c r="BI234">
        <v>4</v>
      </c>
      <c r="BJ234" t="s">
        <v>1594</v>
      </c>
      <c r="BK234" t="s">
        <v>102</v>
      </c>
      <c r="BL234" t="s">
        <v>1594</v>
      </c>
      <c r="BM234" t="s">
        <v>3155</v>
      </c>
      <c r="BN234" t="s">
        <v>74</v>
      </c>
      <c r="BO234" t="s">
        <v>74</v>
      </c>
      <c r="BP234" t="s">
        <v>74</v>
      </c>
      <c r="BQ234" t="s">
        <v>74</v>
      </c>
      <c r="BR234" t="s">
        <v>105</v>
      </c>
      <c r="BS234" t="s">
        <v>3156</v>
      </c>
      <c r="BT234" t="str">
        <f>HYPERLINK("https%3A%2F%2Fwww.webofscience.com%2Fwos%2Fwoscc%2Ffull-record%2FWOS:000737345300001","View Full Record in Web of Science")</f>
        <v>View Full Record in Web of Science</v>
      </c>
    </row>
    <row r="235" spans="1:72" x14ac:dyDescent="0.2">
      <c r="A235" t="s">
        <v>72</v>
      </c>
      <c r="B235" t="s">
        <v>1341</v>
      </c>
      <c r="C235" t="s">
        <v>74</v>
      </c>
      <c r="D235" t="s">
        <v>74</v>
      </c>
      <c r="E235" t="s">
        <v>74</v>
      </c>
      <c r="F235" t="s">
        <v>1342</v>
      </c>
      <c r="G235" t="s">
        <v>74</v>
      </c>
      <c r="H235" t="s">
        <v>74</v>
      </c>
      <c r="I235" t="s">
        <v>1343</v>
      </c>
      <c r="J235" t="s">
        <v>1344</v>
      </c>
      <c r="K235" t="s">
        <v>74</v>
      </c>
      <c r="L235" t="s">
        <v>74</v>
      </c>
      <c r="M235" t="s">
        <v>78</v>
      </c>
      <c r="N235" t="s">
        <v>79</v>
      </c>
      <c r="O235" t="s">
        <v>74</v>
      </c>
      <c r="P235" t="s">
        <v>74</v>
      </c>
      <c r="Q235" t="s">
        <v>74</v>
      </c>
      <c r="R235" t="s">
        <v>74</v>
      </c>
      <c r="S235" t="s">
        <v>74</v>
      </c>
      <c r="T235" t="s">
        <v>1345</v>
      </c>
      <c r="U235" t="s">
        <v>1346</v>
      </c>
      <c r="V235" t="s">
        <v>1347</v>
      </c>
      <c r="W235" s="1" t="s">
        <v>1348</v>
      </c>
      <c r="X235" t="s">
        <v>1349</v>
      </c>
      <c r="Y235" t="s">
        <v>1350</v>
      </c>
      <c r="Z235" t="s">
        <v>1351</v>
      </c>
      <c r="AA235" t="s">
        <v>1352</v>
      </c>
      <c r="AB235" t="s">
        <v>1353</v>
      </c>
      <c r="AC235" t="s">
        <v>1354</v>
      </c>
      <c r="AD235" t="s">
        <v>1355</v>
      </c>
      <c r="AE235" t="s">
        <v>1356</v>
      </c>
      <c r="AF235" t="s">
        <v>1357</v>
      </c>
      <c r="AG235">
        <v>86</v>
      </c>
      <c r="AH235">
        <v>4</v>
      </c>
      <c r="AI235">
        <v>4</v>
      </c>
      <c r="AJ235">
        <v>2</v>
      </c>
      <c r="AK235">
        <v>4</v>
      </c>
      <c r="AL235" t="s">
        <v>1155</v>
      </c>
      <c r="AM235" t="s">
        <v>1156</v>
      </c>
      <c r="AN235" t="s">
        <v>1157</v>
      </c>
      <c r="AO235" t="s">
        <v>1358</v>
      </c>
      <c r="AP235" t="s">
        <v>74</v>
      </c>
      <c r="AQ235" t="s">
        <v>74</v>
      </c>
      <c r="AR235" t="s">
        <v>1344</v>
      </c>
      <c r="AS235" t="s">
        <v>1359</v>
      </c>
      <c r="AT235" t="s">
        <v>1360</v>
      </c>
      <c r="AU235">
        <v>2022</v>
      </c>
      <c r="AV235">
        <v>7</v>
      </c>
      <c r="AW235">
        <v>10</v>
      </c>
      <c r="AX235" t="s">
        <v>74</v>
      </c>
      <c r="AY235" t="s">
        <v>74</v>
      </c>
      <c r="AZ235" t="s">
        <v>74</v>
      </c>
      <c r="BA235" t="s">
        <v>74</v>
      </c>
      <c r="BB235" t="s">
        <v>74</v>
      </c>
      <c r="BC235" t="s">
        <v>74</v>
      </c>
      <c r="BD235" t="s">
        <v>1361</v>
      </c>
      <c r="BE235" t="s">
        <v>1362</v>
      </c>
      <c r="BF235" t="str">
        <f>HYPERLINK("http://dx.doi.org/10.1002/slct.202104360","http://dx.doi.org/10.1002/slct.202104360")</f>
        <v>http://dx.doi.org/10.1002/slct.202104360</v>
      </c>
      <c r="BG235" t="s">
        <v>74</v>
      </c>
      <c r="BH235" t="s">
        <v>74</v>
      </c>
      <c r="BI235">
        <v>10</v>
      </c>
      <c r="BJ235" t="s">
        <v>215</v>
      </c>
      <c r="BK235" t="s">
        <v>102</v>
      </c>
      <c r="BL235" t="s">
        <v>216</v>
      </c>
      <c r="BM235" t="s">
        <v>1363</v>
      </c>
      <c r="BN235" t="s">
        <v>74</v>
      </c>
      <c r="BO235" t="s">
        <v>74</v>
      </c>
      <c r="BP235" t="s">
        <v>74</v>
      </c>
      <c r="BQ235" t="s">
        <v>74</v>
      </c>
      <c r="BR235" t="s">
        <v>105</v>
      </c>
      <c r="BS235" t="s">
        <v>1364</v>
      </c>
      <c r="BT235" t="str">
        <f>HYPERLINK("https%3A%2F%2Fwww.webofscience.com%2Fwos%2Fwoscc%2Ffull-record%2FWOS:000771395600045","View Full Record in Web of Science")</f>
        <v>View Full Record in Web of Science</v>
      </c>
    </row>
    <row r="236" spans="1:72" x14ac:dyDescent="0.2">
      <c r="A236" t="s">
        <v>72</v>
      </c>
      <c r="B236" t="s">
        <v>883</v>
      </c>
      <c r="C236" t="s">
        <v>74</v>
      </c>
      <c r="D236" t="s">
        <v>74</v>
      </c>
      <c r="E236" t="s">
        <v>74</v>
      </c>
      <c r="F236" t="s">
        <v>884</v>
      </c>
      <c r="G236" t="s">
        <v>74</v>
      </c>
      <c r="H236" t="s">
        <v>74</v>
      </c>
      <c r="I236" t="s">
        <v>885</v>
      </c>
      <c r="J236" t="s">
        <v>886</v>
      </c>
      <c r="K236" t="s">
        <v>74</v>
      </c>
      <c r="L236" t="s">
        <v>74</v>
      </c>
      <c r="M236" t="s">
        <v>78</v>
      </c>
      <c r="N236" t="s">
        <v>79</v>
      </c>
      <c r="O236" t="s">
        <v>74</v>
      </c>
      <c r="P236" t="s">
        <v>74</v>
      </c>
      <c r="Q236" t="s">
        <v>74</v>
      </c>
      <c r="R236" t="s">
        <v>74</v>
      </c>
      <c r="S236" t="s">
        <v>74</v>
      </c>
      <c r="T236" t="s">
        <v>74</v>
      </c>
      <c r="U236" t="s">
        <v>887</v>
      </c>
      <c r="V236" t="s">
        <v>888</v>
      </c>
      <c r="W236" s="1" t="s">
        <v>889</v>
      </c>
      <c r="X236" t="s">
        <v>890</v>
      </c>
      <c r="Y236" t="s">
        <v>891</v>
      </c>
      <c r="Z236" t="s">
        <v>892</v>
      </c>
      <c r="AA236" t="s">
        <v>893</v>
      </c>
      <c r="AB236" t="s">
        <v>894</v>
      </c>
      <c r="AC236" t="s">
        <v>895</v>
      </c>
      <c r="AD236" t="s">
        <v>896</v>
      </c>
      <c r="AE236" t="s">
        <v>897</v>
      </c>
      <c r="AF236" t="s">
        <v>898</v>
      </c>
      <c r="AG236">
        <v>61</v>
      </c>
      <c r="AH236">
        <v>0</v>
      </c>
      <c r="AI236">
        <v>0</v>
      </c>
      <c r="AJ236">
        <v>0</v>
      </c>
      <c r="AK236">
        <v>4</v>
      </c>
      <c r="AL236" t="s">
        <v>236</v>
      </c>
      <c r="AM236" t="s">
        <v>237</v>
      </c>
      <c r="AN236" t="s">
        <v>238</v>
      </c>
      <c r="AO236" t="s">
        <v>899</v>
      </c>
      <c r="AP236" t="s">
        <v>74</v>
      </c>
      <c r="AQ236" t="s">
        <v>74</v>
      </c>
      <c r="AR236" t="s">
        <v>900</v>
      </c>
      <c r="AS236" t="s">
        <v>901</v>
      </c>
      <c r="AT236" t="s">
        <v>902</v>
      </c>
      <c r="AU236">
        <v>2022</v>
      </c>
      <c r="AV236">
        <v>137</v>
      </c>
      <c r="AW236">
        <v>5</v>
      </c>
      <c r="AX236" t="s">
        <v>74</v>
      </c>
      <c r="AY236" t="s">
        <v>74</v>
      </c>
      <c r="AZ236" t="s">
        <v>74</v>
      </c>
      <c r="BA236" t="s">
        <v>74</v>
      </c>
      <c r="BB236" t="s">
        <v>74</v>
      </c>
      <c r="BC236" t="s">
        <v>74</v>
      </c>
      <c r="BD236">
        <v>553</v>
      </c>
      <c r="BE236" t="s">
        <v>903</v>
      </c>
      <c r="BF236" t="str">
        <f>HYPERLINK("http://dx.doi.org/10.1140/epjp/s13360-022-02732-5","http://dx.doi.org/10.1140/epjp/s13360-022-02732-5")</f>
        <v>http://dx.doi.org/10.1140/epjp/s13360-022-02732-5</v>
      </c>
      <c r="BG236" t="s">
        <v>74</v>
      </c>
      <c r="BH236" t="s">
        <v>74</v>
      </c>
      <c r="BI236">
        <v>8</v>
      </c>
      <c r="BJ236" t="s">
        <v>904</v>
      </c>
      <c r="BK236" t="s">
        <v>102</v>
      </c>
      <c r="BL236" t="s">
        <v>905</v>
      </c>
      <c r="BM236" t="s">
        <v>906</v>
      </c>
      <c r="BN236" t="s">
        <v>74</v>
      </c>
      <c r="BO236" t="s">
        <v>74</v>
      </c>
      <c r="BP236" t="s">
        <v>74</v>
      </c>
      <c r="BQ236" t="s">
        <v>74</v>
      </c>
      <c r="BR236" t="s">
        <v>105</v>
      </c>
      <c r="BS236" t="s">
        <v>907</v>
      </c>
      <c r="BT236" t="str">
        <f>HYPERLINK("https%3A%2F%2Fwww.webofscience.com%2Fwos%2Fwoscc%2Ffull-record%2FWOS:000791376200002","View Full Record in Web of Science")</f>
        <v>View Full Record in Web of Science</v>
      </c>
    </row>
    <row r="237" spans="1:72" x14ac:dyDescent="0.2">
      <c r="A237" t="s">
        <v>72</v>
      </c>
      <c r="B237" t="s">
        <v>5403</v>
      </c>
      <c r="C237" t="s">
        <v>74</v>
      </c>
      <c r="D237" t="s">
        <v>74</v>
      </c>
      <c r="E237" t="s">
        <v>74</v>
      </c>
      <c r="F237" t="s">
        <v>5404</v>
      </c>
      <c r="G237" t="s">
        <v>74</v>
      </c>
      <c r="H237" t="s">
        <v>74</v>
      </c>
      <c r="I237" t="s">
        <v>5405</v>
      </c>
      <c r="J237" t="s">
        <v>836</v>
      </c>
      <c r="K237" t="s">
        <v>74</v>
      </c>
      <c r="L237" t="s">
        <v>74</v>
      </c>
      <c r="M237" t="s">
        <v>78</v>
      </c>
      <c r="N237" t="s">
        <v>79</v>
      </c>
      <c r="O237" t="s">
        <v>74</v>
      </c>
      <c r="P237" t="s">
        <v>74</v>
      </c>
      <c r="Q237" t="s">
        <v>74</v>
      </c>
      <c r="R237" t="s">
        <v>74</v>
      </c>
      <c r="S237" t="s">
        <v>74</v>
      </c>
      <c r="T237" t="s">
        <v>5406</v>
      </c>
      <c r="U237" t="s">
        <v>5407</v>
      </c>
      <c r="V237" t="s">
        <v>5408</v>
      </c>
      <c r="W237" s="1" t="s">
        <v>5409</v>
      </c>
      <c r="X237" t="s">
        <v>5410</v>
      </c>
      <c r="Y237" t="s">
        <v>5411</v>
      </c>
      <c r="Z237" t="s">
        <v>5412</v>
      </c>
      <c r="AA237" t="s">
        <v>5413</v>
      </c>
      <c r="AB237" t="s">
        <v>5414</v>
      </c>
      <c r="AC237" t="s">
        <v>74</v>
      </c>
      <c r="AD237" t="s">
        <v>74</v>
      </c>
      <c r="AE237" t="s">
        <v>74</v>
      </c>
      <c r="AF237" t="s">
        <v>5415</v>
      </c>
      <c r="AG237">
        <v>58</v>
      </c>
      <c r="AH237">
        <v>0</v>
      </c>
      <c r="AI237">
        <v>0</v>
      </c>
      <c r="AJ237">
        <v>1</v>
      </c>
      <c r="AK237">
        <v>3</v>
      </c>
      <c r="AL237" t="s">
        <v>836</v>
      </c>
      <c r="AM237" t="s">
        <v>847</v>
      </c>
      <c r="AN237" t="s">
        <v>848</v>
      </c>
      <c r="AO237" t="s">
        <v>849</v>
      </c>
      <c r="AP237" t="s">
        <v>850</v>
      </c>
      <c r="AQ237" t="s">
        <v>74</v>
      </c>
      <c r="AR237" t="s">
        <v>851</v>
      </c>
      <c r="AS237" t="s">
        <v>852</v>
      </c>
      <c r="AT237" t="s">
        <v>853</v>
      </c>
      <c r="AU237">
        <v>2022</v>
      </c>
      <c r="AV237">
        <v>70</v>
      </c>
      <c r="AW237" t="s">
        <v>74</v>
      </c>
      <c r="AX237" t="s">
        <v>74</v>
      </c>
      <c r="AY237" t="s">
        <v>74</v>
      </c>
      <c r="AZ237" t="s">
        <v>74</v>
      </c>
      <c r="BA237" t="s">
        <v>74</v>
      </c>
      <c r="BB237">
        <v>464</v>
      </c>
      <c r="BC237">
        <v>481</v>
      </c>
      <c r="BD237" t="s">
        <v>74</v>
      </c>
      <c r="BE237" t="s">
        <v>5416</v>
      </c>
      <c r="BF237" t="str">
        <f>HYPERLINK("http://dx.doi.org/10.15517/rev.biol.trop.2022.49776","http://dx.doi.org/10.15517/rev.biol.trop.2022.49776")</f>
        <v>http://dx.doi.org/10.15517/rev.biol.trop.2022.49776</v>
      </c>
      <c r="BG237" t="s">
        <v>74</v>
      </c>
      <c r="BH237" t="s">
        <v>74</v>
      </c>
      <c r="BI237">
        <v>18</v>
      </c>
      <c r="BJ237" t="s">
        <v>855</v>
      </c>
      <c r="BK237" t="s">
        <v>102</v>
      </c>
      <c r="BL237" t="s">
        <v>856</v>
      </c>
      <c r="BM237" t="s">
        <v>5417</v>
      </c>
      <c r="BN237" t="s">
        <v>74</v>
      </c>
      <c r="BO237" t="s">
        <v>74</v>
      </c>
      <c r="BP237" t="s">
        <v>74</v>
      </c>
      <c r="BQ237" t="s">
        <v>74</v>
      </c>
      <c r="BR237" t="s">
        <v>105</v>
      </c>
      <c r="BS237" t="s">
        <v>5418</v>
      </c>
      <c r="BT237" t="str">
        <f>HYPERLINK("https%3A%2F%2Fwww.webofscience.com%2Fwos%2Fwoscc%2Ffull-record%2FWOS:000826774400002","View Full Record in Web of Science")</f>
        <v>View Full Record in Web of Science</v>
      </c>
    </row>
    <row r="238" spans="1:72" x14ac:dyDescent="0.2">
      <c r="A238" t="s">
        <v>72</v>
      </c>
      <c r="B238" t="s">
        <v>4359</v>
      </c>
      <c r="C238" t="s">
        <v>74</v>
      </c>
      <c r="D238" t="s">
        <v>74</v>
      </c>
      <c r="E238" t="s">
        <v>74</v>
      </c>
      <c r="F238" t="s">
        <v>4360</v>
      </c>
      <c r="G238" t="s">
        <v>74</v>
      </c>
      <c r="H238" t="s">
        <v>74</v>
      </c>
      <c r="I238" t="s">
        <v>4361</v>
      </c>
      <c r="J238" t="s">
        <v>4362</v>
      </c>
      <c r="K238" t="s">
        <v>74</v>
      </c>
      <c r="L238" t="s">
        <v>74</v>
      </c>
      <c r="M238" t="s">
        <v>78</v>
      </c>
      <c r="N238" t="s">
        <v>2421</v>
      </c>
      <c r="O238" t="s">
        <v>74</v>
      </c>
      <c r="P238" t="s">
        <v>74</v>
      </c>
      <c r="Q238" t="s">
        <v>74</v>
      </c>
      <c r="R238" t="s">
        <v>74</v>
      </c>
      <c r="S238" t="s">
        <v>74</v>
      </c>
      <c r="T238" t="s">
        <v>74</v>
      </c>
      <c r="U238" t="s">
        <v>74</v>
      </c>
      <c r="V238" t="s">
        <v>74</v>
      </c>
      <c r="W238" s="1" t="s">
        <v>4363</v>
      </c>
      <c r="X238" t="s">
        <v>4364</v>
      </c>
      <c r="Y238" t="s">
        <v>4365</v>
      </c>
      <c r="Z238" t="s">
        <v>4366</v>
      </c>
      <c r="AA238" t="s">
        <v>74</v>
      </c>
      <c r="AB238" t="s">
        <v>4367</v>
      </c>
      <c r="AC238" t="s">
        <v>74</v>
      </c>
      <c r="AD238" t="s">
        <v>74</v>
      </c>
      <c r="AE238" t="s">
        <v>74</v>
      </c>
      <c r="AF238" t="s">
        <v>4368</v>
      </c>
      <c r="AG238">
        <v>5</v>
      </c>
      <c r="AH238">
        <v>0</v>
      </c>
      <c r="AI238">
        <v>0</v>
      </c>
      <c r="AJ238">
        <v>0</v>
      </c>
      <c r="AK238">
        <v>1</v>
      </c>
      <c r="AL238" t="s">
        <v>4369</v>
      </c>
      <c r="AM238" t="s">
        <v>4370</v>
      </c>
      <c r="AN238" t="s">
        <v>4371</v>
      </c>
      <c r="AO238" t="s">
        <v>4372</v>
      </c>
      <c r="AP238" t="s">
        <v>4373</v>
      </c>
      <c r="AQ238" t="s">
        <v>74</v>
      </c>
      <c r="AR238" t="s">
        <v>4374</v>
      </c>
      <c r="AS238" t="s">
        <v>4375</v>
      </c>
      <c r="AT238" t="s">
        <v>980</v>
      </c>
      <c r="AU238">
        <v>2022</v>
      </c>
      <c r="AV238">
        <v>11</v>
      </c>
      <c r="AW238">
        <v>2</v>
      </c>
      <c r="AX238" t="s">
        <v>74</v>
      </c>
      <c r="AY238" t="s">
        <v>74</v>
      </c>
      <c r="AZ238" t="s">
        <v>74</v>
      </c>
      <c r="BA238" t="s">
        <v>74</v>
      </c>
      <c r="BB238">
        <v>223</v>
      </c>
      <c r="BC238">
        <v>224</v>
      </c>
      <c r="BD238" t="s">
        <v>74</v>
      </c>
      <c r="BE238" t="s">
        <v>4376</v>
      </c>
      <c r="BF238" t="str">
        <f>HYPERLINK("http://dx.doi.org/10.4103/ijmy.ijmy_63_22","http://dx.doi.org/10.4103/ijmy.ijmy_63_22")</f>
        <v>http://dx.doi.org/10.4103/ijmy.ijmy_63_22</v>
      </c>
      <c r="BG238" t="s">
        <v>74</v>
      </c>
      <c r="BH238" t="s">
        <v>74</v>
      </c>
      <c r="BI238">
        <v>2</v>
      </c>
      <c r="BJ238" t="s">
        <v>4377</v>
      </c>
      <c r="BK238" t="s">
        <v>187</v>
      </c>
      <c r="BL238" t="s">
        <v>4377</v>
      </c>
      <c r="BM238" t="s">
        <v>4378</v>
      </c>
      <c r="BN238">
        <v>35775561</v>
      </c>
      <c r="BO238" t="s">
        <v>74</v>
      </c>
      <c r="BP238" t="s">
        <v>74</v>
      </c>
      <c r="BQ238" t="s">
        <v>74</v>
      </c>
      <c r="BR238" t="s">
        <v>105</v>
      </c>
      <c r="BS238" t="s">
        <v>4379</v>
      </c>
      <c r="BT238" t="str">
        <f>HYPERLINK("https%3A%2F%2Fwww.webofscience.com%2Fwos%2Fwoscc%2Ffull-record%2FWOS:000867670000018","View Full Record in Web of Science")</f>
        <v>View Full Record in Web of Science</v>
      </c>
    </row>
    <row r="239" spans="1:72" x14ac:dyDescent="0.2">
      <c r="A239" t="s">
        <v>72</v>
      </c>
      <c r="B239" t="s">
        <v>3468</v>
      </c>
      <c r="C239" t="s">
        <v>74</v>
      </c>
      <c r="D239" t="s">
        <v>74</v>
      </c>
      <c r="E239" t="s">
        <v>74</v>
      </c>
      <c r="F239" t="s">
        <v>3469</v>
      </c>
      <c r="G239" t="s">
        <v>74</v>
      </c>
      <c r="H239" t="s">
        <v>74</v>
      </c>
      <c r="I239" t="s">
        <v>3470</v>
      </c>
      <c r="J239" t="s">
        <v>3471</v>
      </c>
      <c r="K239" t="s">
        <v>74</v>
      </c>
      <c r="L239" t="s">
        <v>74</v>
      </c>
      <c r="M239" t="s">
        <v>78</v>
      </c>
      <c r="N239" t="s">
        <v>79</v>
      </c>
      <c r="O239" t="s">
        <v>74</v>
      </c>
      <c r="P239" t="s">
        <v>74</v>
      </c>
      <c r="Q239" t="s">
        <v>74</v>
      </c>
      <c r="R239" t="s">
        <v>74</v>
      </c>
      <c r="S239" t="s">
        <v>74</v>
      </c>
      <c r="T239" t="s">
        <v>3472</v>
      </c>
      <c r="U239" t="s">
        <v>74</v>
      </c>
      <c r="V239" t="s">
        <v>3473</v>
      </c>
      <c r="W239" s="1" t="s">
        <v>3474</v>
      </c>
      <c r="X239" t="s">
        <v>3475</v>
      </c>
      <c r="Y239" t="s">
        <v>3476</v>
      </c>
      <c r="Z239" t="s">
        <v>3477</v>
      </c>
      <c r="AA239" t="s">
        <v>74</v>
      </c>
      <c r="AB239" t="s">
        <v>3478</v>
      </c>
      <c r="AC239" t="s">
        <v>3479</v>
      </c>
      <c r="AD239" t="s">
        <v>3480</v>
      </c>
      <c r="AE239" t="s">
        <v>3481</v>
      </c>
      <c r="AF239" t="s">
        <v>3482</v>
      </c>
      <c r="AG239">
        <v>24</v>
      </c>
      <c r="AH239">
        <v>0</v>
      </c>
      <c r="AI239">
        <v>0</v>
      </c>
      <c r="AJ239">
        <v>0</v>
      </c>
      <c r="AK239">
        <v>0</v>
      </c>
      <c r="AL239" t="s">
        <v>93</v>
      </c>
      <c r="AM239" t="s">
        <v>94</v>
      </c>
      <c r="AN239" t="s">
        <v>95</v>
      </c>
      <c r="AO239" t="s">
        <v>74</v>
      </c>
      <c r="AP239" t="s">
        <v>3483</v>
      </c>
      <c r="AQ239" t="s">
        <v>74</v>
      </c>
      <c r="AR239" t="s">
        <v>3471</v>
      </c>
      <c r="AS239" t="s">
        <v>3484</v>
      </c>
      <c r="AT239" t="s">
        <v>476</v>
      </c>
      <c r="AU239">
        <v>2022</v>
      </c>
      <c r="AV239">
        <v>10</v>
      </c>
      <c r="AW239">
        <v>9</v>
      </c>
      <c r="AX239" t="s">
        <v>74</v>
      </c>
      <c r="AY239" t="s">
        <v>74</v>
      </c>
      <c r="AZ239" t="s">
        <v>74</v>
      </c>
      <c r="BA239" t="s">
        <v>74</v>
      </c>
      <c r="BB239" t="s">
        <v>74</v>
      </c>
      <c r="BC239" t="s">
        <v>74</v>
      </c>
      <c r="BD239">
        <v>164</v>
      </c>
      <c r="BE239" t="s">
        <v>3485</v>
      </c>
      <c r="BF239" t="str">
        <f>HYPERLINK("http://dx.doi.org/10.3390/computation10090164","http://dx.doi.org/10.3390/computation10090164")</f>
        <v>http://dx.doi.org/10.3390/computation10090164</v>
      </c>
      <c r="BG239" t="s">
        <v>74</v>
      </c>
      <c r="BH239" t="s">
        <v>74</v>
      </c>
      <c r="BI239">
        <v>31</v>
      </c>
      <c r="BJ239" t="s">
        <v>3486</v>
      </c>
      <c r="BK239" t="s">
        <v>187</v>
      </c>
      <c r="BL239" t="s">
        <v>576</v>
      </c>
      <c r="BM239" t="s">
        <v>3487</v>
      </c>
      <c r="BN239" t="s">
        <v>74</v>
      </c>
      <c r="BO239" t="s">
        <v>190</v>
      </c>
      <c r="BP239" t="s">
        <v>74</v>
      </c>
      <c r="BQ239" t="s">
        <v>74</v>
      </c>
      <c r="BR239" t="s">
        <v>105</v>
      </c>
      <c r="BS239" t="s">
        <v>3488</v>
      </c>
      <c r="BT239" t="str">
        <f>HYPERLINK("https%3A%2F%2Fwww.webofscience.com%2Fwos%2Fwoscc%2Ffull-record%2FWOS:000858103200001","View Full Record in Web of Science")</f>
        <v>View Full Record in Web of Science</v>
      </c>
    </row>
    <row r="240" spans="1:72" x14ac:dyDescent="0.2">
      <c r="A240" t="s">
        <v>72</v>
      </c>
      <c r="B240" t="s">
        <v>1903</v>
      </c>
      <c r="C240" t="s">
        <v>74</v>
      </c>
      <c r="D240" t="s">
        <v>74</v>
      </c>
      <c r="E240" t="s">
        <v>74</v>
      </c>
      <c r="F240" t="s">
        <v>1904</v>
      </c>
      <c r="G240" t="s">
        <v>74</v>
      </c>
      <c r="H240" t="s">
        <v>74</v>
      </c>
      <c r="I240" t="s">
        <v>1905</v>
      </c>
      <c r="J240" t="s">
        <v>1906</v>
      </c>
      <c r="K240" t="s">
        <v>74</v>
      </c>
      <c r="L240" t="s">
        <v>74</v>
      </c>
      <c r="M240" t="s">
        <v>1517</v>
      </c>
      <c r="N240" t="s">
        <v>79</v>
      </c>
      <c r="O240" t="s">
        <v>74</v>
      </c>
      <c r="P240" t="s">
        <v>74</v>
      </c>
      <c r="Q240" t="s">
        <v>74</v>
      </c>
      <c r="R240" t="s">
        <v>74</v>
      </c>
      <c r="S240" t="s">
        <v>74</v>
      </c>
      <c r="T240" t="s">
        <v>1907</v>
      </c>
      <c r="U240" t="s">
        <v>74</v>
      </c>
      <c r="V240" t="s">
        <v>1908</v>
      </c>
      <c r="W240" s="1" t="s">
        <v>1909</v>
      </c>
      <c r="X240" t="s">
        <v>84</v>
      </c>
      <c r="Y240" t="s">
        <v>1910</v>
      </c>
      <c r="Z240" t="s">
        <v>1911</v>
      </c>
      <c r="AA240" t="s">
        <v>74</v>
      </c>
      <c r="AB240" t="s">
        <v>74</v>
      </c>
      <c r="AC240" t="s">
        <v>74</v>
      </c>
      <c r="AD240" t="s">
        <v>74</v>
      </c>
      <c r="AE240" t="s">
        <v>74</v>
      </c>
      <c r="AF240" t="s">
        <v>1912</v>
      </c>
      <c r="AG240">
        <v>18</v>
      </c>
      <c r="AH240">
        <v>0</v>
      </c>
      <c r="AI240">
        <v>0</v>
      </c>
      <c r="AJ240">
        <v>0</v>
      </c>
      <c r="AK240">
        <v>1</v>
      </c>
      <c r="AL240" t="s">
        <v>1913</v>
      </c>
      <c r="AM240" t="s">
        <v>316</v>
      </c>
      <c r="AN240" t="s">
        <v>1914</v>
      </c>
      <c r="AO240" t="s">
        <v>1915</v>
      </c>
      <c r="AP240" t="s">
        <v>1916</v>
      </c>
      <c r="AQ240" t="s">
        <v>74</v>
      </c>
      <c r="AR240" t="s">
        <v>1917</v>
      </c>
      <c r="AS240" t="s">
        <v>1918</v>
      </c>
      <c r="AT240" t="s">
        <v>1527</v>
      </c>
      <c r="AU240">
        <v>2022</v>
      </c>
      <c r="AV240">
        <v>45</v>
      </c>
      <c r="AW240">
        <v>1</v>
      </c>
      <c r="AX240" t="s">
        <v>74</v>
      </c>
      <c r="AY240" t="s">
        <v>74</v>
      </c>
      <c r="AZ240" t="s">
        <v>74</v>
      </c>
      <c r="BA240" t="s">
        <v>74</v>
      </c>
      <c r="BB240">
        <v>197</v>
      </c>
      <c r="BC240">
        <v>217</v>
      </c>
      <c r="BD240" t="s">
        <v>74</v>
      </c>
      <c r="BE240" t="s">
        <v>1919</v>
      </c>
      <c r="BF240" t="str">
        <f>HYPERLINK("http://dx.doi.org/10.15446/rcs.v45n1.90229","http://dx.doi.org/10.15446/rcs.v45n1.90229")</f>
        <v>http://dx.doi.org/10.15446/rcs.v45n1.90229</v>
      </c>
      <c r="BG240" t="s">
        <v>74</v>
      </c>
      <c r="BH240" t="s">
        <v>74</v>
      </c>
      <c r="BI240">
        <v>21</v>
      </c>
      <c r="BJ240" t="s">
        <v>1777</v>
      </c>
      <c r="BK240" t="s">
        <v>187</v>
      </c>
      <c r="BL240" t="s">
        <v>1777</v>
      </c>
      <c r="BM240" t="s">
        <v>1920</v>
      </c>
      <c r="BN240" t="s">
        <v>74</v>
      </c>
      <c r="BO240" t="s">
        <v>74</v>
      </c>
      <c r="BP240" t="s">
        <v>74</v>
      </c>
      <c r="BQ240" t="s">
        <v>74</v>
      </c>
      <c r="BR240" t="s">
        <v>105</v>
      </c>
      <c r="BS240" t="s">
        <v>1921</v>
      </c>
      <c r="BT240" t="str">
        <f>HYPERLINK("https%3A%2F%2Fwww.webofscience.com%2Fwos%2Fwoscc%2Ffull-record%2FWOS:000745658900010","View Full Record in Web of Science")</f>
        <v>View Full Record in Web of Science</v>
      </c>
    </row>
    <row r="241" spans="1:72" x14ac:dyDescent="0.2">
      <c r="A241" t="s">
        <v>72</v>
      </c>
      <c r="B241" t="s">
        <v>3364</v>
      </c>
      <c r="C241" t="s">
        <v>74</v>
      </c>
      <c r="D241" t="s">
        <v>74</v>
      </c>
      <c r="E241" t="s">
        <v>74</v>
      </c>
      <c r="F241" t="s">
        <v>3365</v>
      </c>
      <c r="G241" t="s">
        <v>74</v>
      </c>
      <c r="H241" t="s">
        <v>74</v>
      </c>
      <c r="I241" t="s">
        <v>3366</v>
      </c>
      <c r="J241" t="s">
        <v>862</v>
      </c>
      <c r="K241" t="s">
        <v>74</v>
      </c>
      <c r="L241" t="s">
        <v>74</v>
      </c>
      <c r="M241" t="s">
        <v>78</v>
      </c>
      <c r="N241" t="s">
        <v>79</v>
      </c>
      <c r="O241" t="s">
        <v>74</v>
      </c>
      <c r="P241" t="s">
        <v>74</v>
      </c>
      <c r="Q241" t="s">
        <v>74</v>
      </c>
      <c r="R241" t="s">
        <v>74</v>
      </c>
      <c r="S241" t="s">
        <v>74</v>
      </c>
      <c r="T241" t="s">
        <v>3367</v>
      </c>
      <c r="U241" t="s">
        <v>3368</v>
      </c>
      <c r="V241" t="s">
        <v>3369</v>
      </c>
      <c r="W241" s="1" t="s">
        <v>3370</v>
      </c>
      <c r="X241" t="s">
        <v>84</v>
      </c>
      <c r="Y241" t="s">
        <v>3371</v>
      </c>
      <c r="Z241" t="s">
        <v>3372</v>
      </c>
      <c r="AA241" t="s">
        <v>87</v>
      </c>
      <c r="AB241" t="s">
        <v>88</v>
      </c>
      <c r="AC241" t="s">
        <v>74</v>
      </c>
      <c r="AD241" t="s">
        <v>74</v>
      </c>
      <c r="AE241" t="s">
        <v>74</v>
      </c>
      <c r="AF241" t="s">
        <v>3373</v>
      </c>
      <c r="AG241">
        <v>46</v>
      </c>
      <c r="AH241">
        <v>1</v>
      </c>
      <c r="AI241">
        <v>1</v>
      </c>
      <c r="AJ241">
        <v>6</v>
      </c>
      <c r="AK241">
        <v>6</v>
      </c>
      <c r="AL241" t="s">
        <v>93</v>
      </c>
      <c r="AM241" t="s">
        <v>94</v>
      </c>
      <c r="AN241" t="s">
        <v>95</v>
      </c>
      <c r="AO241" t="s">
        <v>74</v>
      </c>
      <c r="AP241" t="s">
        <v>876</v>
      </c>
      <c r="AQ241" t="s">
        <v>74</v>
      </c>
      <c r="AR241" t="s">
        <v>862</v>
      </c>
      <c r="AS241" t="s">
        <v>877</v>
      </c>
      <c r="AT241" t="s">
        <v>99</v>
      </c>
      <c r="AU241">
        <v>2023</v>
      </c>
      <c r="AV241">
        <v>28</v>
      </c>
      <c r="AW241">
        <v>2</v>
      </c>
      <c r="AX241" t="s">
        <v>74</v>
      </c>
      <c r="AY241" t="s">
        <v>74</v>
      </c>
      <c r="AZ241" t="s">
        <v>74</v>
      </c>
      <c r="BA241" t="s">
        <v>74</v>
      </c>
      <c r="BB241" t="s">
        <v>74</v>
      </c>
      <c r="BC241" t="s">
        <v>74</v>
      </c>
      <c r="BD241">
        <v>786</v>
      </c>
      <c r="BE241" t="s">
        <v>3374</v>
      </c>
      <c r="BF241" t="str">
        <f>HYPERLINK("http://dx.doi.org/10.3390/molecules28020786","http://dx.doi.org/10.3390/molecules28020786")</f>
        <v>http://dx.doi.org/10.3390/molecules28020786</v>
      </c>
      <c r="BG241" t="s">
        <v>74</v>
      </c>
      <c r="BH241" t="s">
        <v>74</v>
      </c>
      <c r="BI241">
        <v>15</v>
      </c>
      <c r="BJ241" t="s">
        <v>879</v>
      </c>
      <c r="BK241" t="s">
        <v>102</v>
      </c>
      <c r="BL241" t="s">
        <v>880</v>
      </c>
      <c r="BM241" t="s">
        <v>3375</v>
      </c>
      <c r="BN241">
        <v>36677844</v>
      </c>
      <c r="BO241" t="s">
        <v>131</v>
      </c>
      <c r="BP241" t="s">
        <v>74</v>
      </c>
      <c r="BQ241" t="s">
        <v>74</v>
      </c>
      <c r="BR241" t="s">
        <v>105</v>
      </c>
      <c r="BS241" t="s">
        <v>3376</v>
      </c>
      <c r="BT241" t="str">
        <f>HYPERLINK("https%3A%2F%2Fwww.webofscience.com%2Fwos%2Fwoscc%2Ffull-record%2FWOS:000916346400001","View Full Record in Web of Science")</f>
        <v>View Full Record in Web of Science</v>
      </c>
    </row>
    <row r="242" spans="1:72" x14ac:dyDescent="0.2">
      <c r="A242" t="s">
        <v>72</v>
      </c>
      <c r="B242" t="s">
        <v>6039</v>
      </c>
      <c r="C242" t="s">
        <v>74</v>
      </c>
      <c r="D242" t="s">
        <v>74</v>
      </c>
      <c r="E242" t="s">
        <v>74</v>
      </c>
      <c r="F242" t="s">
        <v>6040</v>
      </c>
      <c r="G242" t="s">
        <v>74</v>
      </c>
      <c r="H242" t="s">
        <v>74</v>
      </c>
      <c r="I242" t="s">
        <v>6041</v>
      </c>
      <c r="J242" t="s">
        <v>6042</v>
      </c>
      <c r="K242" t="s">
        <v>74</v>
      </c>
      <c r="L242" t="s">
        <v>74</v>
      </c>
      <c r="M242" t="s">
        <v>78</v>
      </c>
      <c r="N242" t="s">
        <v>79</v>
      </c>
      <c r="O242" t="s">
        <v>74</v>
      </c>
      <c r="P242" t="s">
        <v>74</v>
      </c>
      <c r="Q242" t="s">
        <v>74</v>
      </c>
      <c r="R242" t="s">
        <v>74</v>
      </c>
      <c r="S242" t="s">
        <v>74</v>
      </c>
      <c r="T242" t="s">
        <v>6043</v>
      </c>
      <c r="U242" t="s">
        <v>74</v>
      </c>
      <c r="V242" t="s">
        <v>6044</v>
      </c>
      <c r="W242" s="1" t="s">
        <v>6045</v>
      </c>
      <c r="X242" t="s">
        <v>6046</v>
      </c>
      <c r="Y242" t="s">
        <v>6047</v>
      </c>
      <c r="Z242" t="s">
        <v>74</v>
      </c>
      <c r="AA242" t="s">
        <v>74</v>
      </c>
      <c r="AB242" t="s">
        <v>6048</v>
      </c>
      <c r="AC242" t="s">
        <v>74</v>
      </c>
      <c r="AD242" t="s">
        <v>74</v>
      </c>
      <c r="AE242" t="s">
        <v>74</v>
      </c>
      <c r="AF242" t="s">
        <v>6049</v>
      </c>
      <c r="AG242">
        <v>41</v>
      </c>
      <c r="AH242">
        <v>0</v>
      </c>
      <c r="AI242">
        <v>0</v>
      </c>
      <c r="AJ242">
        <v>1</v>
      </c>
      <c r="AK242">
        <v>5</v>
      </c>
      <c r="AL242" t="s">
        <v>6050</v>
      </c>
      <c r="AM242" t="s">
        <v>6051</v>
      </c>
      <c r="AN242" t="s">
        <v>6052</v>
      </c>
      <c r="AO242" t="s">
        <v>6053</v>
      </c>
      <c r="AP242" t="s">
        <v>74</v>
      </c>
      <c r="AQ242" t="s">
        <v>74</v>
      </c>
      <c r="AR242" t="s">
        <v>6054</v>
      </c>
      <c r="AS242" t="s">
        <v>6055</v>
      </c>
      <c r="AT242" t="s">
        <v>74</v>
      </c>
      <c r="AU242">
        <v>2022</v>
      </c>
      <c r="AV242">
        <v>10</v>
      </c>
      <c r="AW242" t="s">
        <v>74</v>
      </c>
      <c r="AX242" t="s">
        <v>74</v>
      </c>
      <c r="AY242" t="s">
        <v>74</v>
      </c>
      <c r="AZ242" t="s">
        <v>74</v>
      </c>
      <c r="BA242" t="s">
        <v>74</v>
      </c>
      <c r="BB242" t="s">
        <v>6056</v>
      </c>
      <c r="BC242" t="s">
        <v>6057</v>
      </c>
      <c r="BD242" t="s">
        <v>74</v>
      </c>
      <c r="BE242" t="s">
        <v>6058</v>
      </c>
      <c r="BF242" t="str">
        <f>HYPERLINK("http://dx.doi.org/10.5195/dpj.2022.468","http://dx.doi.org/10.5195/dpj.2022.468")</f>
        <v>http://dx.doi.org/10.5195/dpj.2022.468</v>
      </c>
      <c r="BG242" t="s">
        <v>74</v>
      </c>
      <c r="BH242" t="s">
        <v>74</v>
      </c>
      <c r="BI242">
        <v>21</v>
      </c>
      <c r="BJ242" t="s">
        <v>963</v>
      </c>
      <c r="BK242" t="s">
        <v>187</v>
      </c>
      <c r="BL242" t="s">
        <v>963</v>
      </c>
      <c r="BM242" t="s">
        <v>6059</v>
      </c>
      <c r="BN242" t="s">
        <v>74</v>
      </c>
      <c r="BO242" t="s">
        <v>190</v>
      </c>
      <c r="BP242" t="s">
        <v>74</v>
      </c>
      <c r="BQ242" t="s">
        <v>74</v>
      </c>
      <c r="BR242" t="s">
        <v>105</v>
      </c>
      <c r="BS242" t="s">
        <v>6060</v>
      </c>
      <c r="BT242" t="str">
        <f>HYPERLINK("https%3A%2F%2Fwww.webofscience.com%2Fwos%2Fwoscc%2Ffull-record%2FWOS:000791421700001","View Full Record in Web of Science")</f>
        <v>View Full Record in Web of Science</v>
      </c>
    </row>
    <row r="243" spans="1:72" x14ac:dyDescent="0.2">
      <c r="A243" t="s">
        <v>72</v>
      </c>
      <c r="B243" t="s">
        <v>1619</v>
      </c>
      <c r="C243" t="s">
        <v>74</v>
      </c>
      <c r="D243" t="s">
        <v>74</v>
      </c>
      <c r="E243" t="s">
        <v>74</v>
      </c>
      <c r="F243" t="s">
        <v>1620</v>
      </c>
      <c r="G243" t="s">
        <v>74</v>
      </c>
      <c r="H243" t="s">
        <v>74</v>
      </c>
      <c r="I243" t="s">
        <v>1621</v>
      </c>
      <c r="J243" t="s">
        <v>1622</v>
      </c>
      <c r="K243" t="s">
        <v>74</v>
      </c>
      <c r="L243" t="s">
        <v>74</v>
      </c>
      <c r="M243" t="s">
        <v>78</v>
      </c>
      <c r="N243" t="s">
        <v>79</v>
      </c>
      <c r="O243" t="s">
        <v>74</v>
      </c>
      <c r="P243" t="s">
        <v>74</v>
      </c>
      <c r="Q243" t="s">
        <v>74</v>
      </c>
      <c r="R243" t="s">
        <v>74</v>
      </c>
      <c r="S243" t="s">
        <v>74</v>
      </c>
      <c r="T243" t="s">
        <v>1623</v>
      </c>
      <c r="U243" t="s">
        <v>74</v>
      </c>
      <c r="V243" t="s">
        <v>1624</v>
      </c>
      <c r="W243" s="1" t="s">
        <v>1625</v>
      </c>
      <c r="X243" t="s">
        <v>84</v>
      </c>
      <c r="Y243" t="s">
        <v>1626</v>
      </c>
      <c r="Z243" t="s">
        <v>1627</v>
      </c>
      <c r="AA243" t="s">
        <v>74</v>
      </c>
      <c r="AB243" t="s">
        <v>74</v>
      </c>
      <c r="AC243" t="s">
        <v>1628</v>
      </c>
      <c r="AD243" t="s">
        <v>1628</v>
      </c>
      <c r="AE243" t="s">
        <v>1629</v>
      </c>
      <c r="AF243" t="s">
        <v>1630</v>
      </c>
      <c r="AG243">
        <v>23</v>
      </c>
      <c r="AH243">
        <v>0</v>
      </c>
      <c r="AI243">
        <v>0</v>
      </c>
      <c r="AJ243">
        <v>0</v>
      </c>
      <c r="AK243">
        <v>0</v>
      </c>
      <c r="AL243" t="s">
        <v>1631</v>
      </c>
      <c r="AM243" t="s">
        <v>1632</v>
      </c>
      <c r="AN243" t="s">
        <v>1633</v>
      </c>
      <c r="AO243" t="s">
        <v>1634</v>
      </c>
      <c r="AP243" t="s">
        <v>1635</v>
      </c>
      <c r="AQ243" t="s">
        <v>74</v>
      </c>
      <c r="AR243" t="s">
        <v>1622</v>
      </c>
      <c r="AS243" t="s">
        <v>1622</v>
      </c>
      <c r="AT243" t="s">
        <v>1487</v>
      </c>
      <c r="AU243">
        <v>2022</v>
      </c>
      <c r="AV243">
        <v>18</v>
      </c>
      <c r="AW243">
        <v>2</v>
      </c>
      <c r="AX243" t="s">
        <v>74</v>
      </c>
      <c r="AY243" t="s">
        <v>74</v>
      </c>
      <c r="AZ243" t="s">
        <v>74</v>
      </c>
      <c r="BA243" t="s">
        <v>74</v>
      </c>
      <c r="BB243" t="s">
        <v>74</v>
      </c>
      <c r="BC243" t="s">
        <v>74</v>
      </c>
      <c r="BD243" t="s">
        <v>74</v>
      </c>
      <c r="BE243" t="s">
        <v>1636</v>
      </c>
      <c r="BF243" t="str">
        <f>HYPERLINK("http://dx.doi.org/10.17981/ingecuc.18.2.2022.08","http://dx.doi.org/10.17981/ingecuc.18.2.2022.08")</f>
        <v>http://dx.doi.org/10.17981/ingecuc.18.2.2022.08</v>
      </c>
      <c r="BG243" t="s">
        <v>74</v>
      </c>
      <c r="BH243" t="s">
        <v>74</v>
      </c>
      <c r="BI243">
        <v>1</v>
      </c>
      <c r="BJ243" t="s">
        <v>323</v>
      </c>
      <c r="BK243" t="s">
        <v>187</v>
      </c>
      <c r="BL243" t="s">
        <v>324</v>
      </c>
      <c r="BM243" t="s">
        <v>1637</v>
      </c>
      <c r="BN243" t="s">
        <v>74</v>
      </c>
      <c r="BO243" t="s">
        <v>74</v>
      </c>
      <c r="BP243" t="s">
        <v>74</v>
      </c>
      <c r="BQ243" t="s">
        <v>74</v>
      </c>
      <c r="BR243" t="s">
        <v>105</v>
      </c>
      <c r="BS243" t="s">
        <v>1638</v>
      </c>
      <c r="BT243" t="str">
        <f>HYPERLINK("https%3A%2F%2Fwww.webofscience.com%2Fwos%2Fwoscc%2Ffull-record%2FWOS:000917298600007","View Full Record in Web of Science")</f>
        <v>View Full Record in Web of Science</v>
      </c>
    </row>
    <row r="244" spans="1:72" x14ac:dyDescent="0.2">
      <c r="A244" t="s">
        <v>72</v>
      </c>
      <c r="B244" t="s">
        <v>5363</v>
      </c>
      <c r="C244" t="s">
        <v>74</v>
      </c>
      <c r="D244" t="s">
        <v>74</v>
      </c>
      <c r="E244" t="s">
        <v>74</v>
      </c>
      <c r="F244" t="s">
        <v>5364</v>
      </c>
      <c r="G244" t="s">
        <v>74</v>
      </c>
      <c r="H244" t="s">
        <v>74</v>
      </c>
      <c r="I244" t="s">
        <v>5365</v>
      </c>
      <c r="J244" t="s">
        <v>5366</v>
      </c>
      <c r="K244" t="s">
        <v>74</v>
      </c>
      <c r="L244" t="s">
        <v>74</v>
      </c>
      <c r="M244" t="s">
        <v>78</v>
      </c>
      <c r="N244" t="s">
        <v>137</v>
      </c>
      <c r="O244" t="s">
        <v>74</v>
      </c>
      <c r="P244" t="s">
        <v>74</v>
      </c>
      <c r="Q244" t="s">
        <v>74</v>
      </c>
      <c r="R244" t="s">
        <v>74</v>
      </c>
      <c r="S244" t="s">
        <v>74</v>
      </c>
      <c r="T244" t="s">
        <v>5367</v>
      </c>
      <c r="U244" t="s">
        <v>5368</v>
      </c>
      <c r="V244" t="s">
        <v>5369</v>
      </c>
      <c r="W244" s="1" t="s">
        <v>5370</v>
      </c>
      <c r="X244" t="s">
        <v>5371</v>
      </c>
      <c r="Y244" t="s">
        <v>5372</v>
      </c>
      <c r="Z244" t="s">
        <v>5373</v>
      </c>
      <c r="AA244" t="s">
        <v>74</v>
      </c>
      <c r="AB244" t="s">
        <v>5374</v>
      </c>
      <c r="AC244" t="s">
        <v>74</v>
      </c>
      <c r="AD244" t="s">
        <v>74</v>
      </c>
      <c r="AE244" t="s">
        <v>74</v>
      </c>
      <c r="AF244" t="s">
        <v>5375</v>
      </c>
      <c r="AG244">
        <v>50</v>
      </c>
      <c r="AH244">
        <v>0</v>
      </c>
      <c r="AI244">
        <v>0</v>
      </c>
      <c r="AJ244">
        <v>2</v>
      </c>
      <c r="AK244">
        <v>4</v>
      </c>
      <c r="AL244" t="s">
        <v>727</v>
      </c>
      <c r="AM244" t="s">
        <v>728</v>
      </c>
      <c r="AN244" t="s">
        <v>729</v>
      </c>
      <c r="AO244" t="s">
        <v>5376</v>
      </c>
      <c r="AP244" t="s">
        <v>5377</v>
      </c>
      <c r="AQ244" t="s">
        <v>74</v>
      </c>
      <c r="AR244" t="s">
        <v>5378</v>
      </c>
      <c r="AS244" t="s">
        <v>5379</v>
      </c>
      <c r="AT244" t="s">
        <v>5380</v>
      </c>
      <c r="AU244">
        <v>2022</v>
      </c>
      <c r="AV244" t="s">
        <v>74</v>
      </c>
      <c r="AW244" t="s">
        <v>74</v>
      </c>
      <c r="AX244" t="s">
        <v>74</v>
      </c>
      <c r="AY244" t="s">
        <v>74</v>
      </c>
      <c r="AZ244" t="s">
        <v>74</v>
      </c>
      <c r="BA244" t="s">
        <v>74</v>
      </c>
      <c r="BB244" t="s">
        <v>74</v>
      </c>
      <c r="BC244" t="s">
        <v>74</v>
      </c>
      <c r="BD244" t="s">
        <v>74</v>
      </c>
      <c r="BE244" t="s">
        <v>5381</v>
      </c>
      <c r="BF244" t="str">
        <f>HYPERLINK("http://dx.doi.org/10.1080/01650521.2022.2035119","http://dx.doi.org/10.1080/01650521.2022.2035119")</f>
        <v>http://dx.doi.org/10.1080/01650521.2022.2035119</v>
      </c>
      <c r="BG244" t="s">
        <v>74</v>
      </c>
      <c r="BH244" t="s">
        <v>244</v>
      </c>
      <c r="BI244">
        <v>13</v>
      </c>
      <c r="BJ244" t="s">
        <v>1712</v>
      </c>
      <c r="BK244" t="s">
        <v>102</v>
      </c>
      <c r="BL244" t="s">
        <v>1712</v>
      </c>
      <c r="BM244" t="s">
        <v>5382</v>
      </c>
      <c r="BN244" t="s">
        <v>74</v>
      </c>
      <c r="BO244" t="s">
        <v>74</v>
      </c>
      <c r="BP244" t="s">
        <v>74</v>
      </c>
      <c r="BQ244" t="s">
        <v>74</v>
      </c>
      <c r="BR244" t="s">
        <v>105</v>
      </c>
      <c r="BS244" t="s">
        <v>5383</v>
      </c>
      <c r="BT244" t="str">
        <f>HYPERLINK("https%3A%2F%2Fwww.webofscience.com%2Fwos%2Fwoscc%2Ffull-record%2FWOS:000769585000001","View Full Record in Web of Science")</f>
        <v>View Full Record in Web of Science</v>
      </c>
    </row>
    <row r="245" spans="1:72" x14ac:dyDescent="0.2">
      <c r="A245" t="s">
        <v>72</v>
      </c>
      <c r="B245" t="s">
        <v>3614</v>
      </c>
      <c r="C245" t="s">
        <v>74</v>
      </c>
      <c r="D245" t="s">
        <v>74</v>
      </c>
      <c r="E245" t="s">
        <v>74</v>
      </c>
      <c r="F245" t="s">
        <v>3615</v>
      </c>
      <c r="G245" t="s">
        <v>74</v>
      </c>
      <c r="H245" t="s">
        <v>74</v>
      </c>
      <c r="I245" t="s">
        <v>3616</v>
      </c>
      <c r="J245" t="s">
        <v>396</v>
      </c>
      <c r="K245" t="s">
        <v>74</v>
      </c>
      <c r="L245" t="s">
        <v>74</v>
      </c>
      <c r="M245" t="s">
        <v>78</v>
      </c>
      <c r="N245" t="s">
        <v>79</v>
      </c>
      <c r="O245" t="s">
        <v>74</v>
      </c>
      <c r="P245" t="s">
        <v>74</v>
      </c>
      <c r="Q245" t="s">
        <v>74</v>
      </c>
      <c r="R245" t="s">
        <v>74</v>
      </c>
      <c r="S245" t="s">
        <v>74</v>
      </c>
      <c r="T245" t="s">
        <v>3617</v>
      </c>
      <c r="U245" t="s">
        <v>3618</v>
      </c>
      <c r="V245" t="s">
        <v>3619</v>
      </c>
      <c r="W245" s="1" t="s">
        <v>3620</v>
      </c>
      <c r="X245" t="s">
        <v>3621</v>
      </c>
      <c r="Y245" t="s">
        <v>3622</v>
      </c>
      <c r="Z245" t="s">
        <v>3623</v>
      </c>
      <c r="AA245" t="s">
        <v>3624</v>
      </c>
      <c r="AB245" t="s">
        <v>3625</v>
      </c>
      <c r="AC245" t="s">
        <v>3626</v>
      </c>
      <c r="AD245" t="s">
        <v>74</v>
      </c>
      <c r="AE245" t="s">
        <v>3627</v>
      </c>
      <c r="AF245" t="s">
        <v>3628</v>
      </c>
      <c r="AG245">
        <v>20</v>
      </c>
      <c r="AH245">
        <v>0</v>
      </c>
      <c r="AI245">
        <v>0</v>
      </c>
      <c r="AJ245">
        <v>2</v>
      </c>
      <c r="AK245">
        <v>4</v>
      </c>
      <c r="AL245" t="s">
        <v>409</v>
      </c>
      <c r="AM245" t="s">
        <v>410</v>
      </c>
      <c r="AN245" t="s">
        <v>411</v>
      </c>
      <c r="AO245" t="s">
        <v>412</v>
      </c>
      <c r="AP245" t="s">
        <v>413</v>
      </c>
      <c r="AQ245" t="s">
        <v>74</v>
      </c>
      <c r="AR245" t="s">
        <v>414</v>
      </c>
      <c r="AS245" t="s">
        <v>415</v>
      </c>
      <c r="AT245" t="s">
        <v>3629</v>
      </c>
      <c r="AU245">
        <v>2022</v>
      </c>
      <c r="AV245" t="s">
        <v>74</v>
      </c>
      <c r="AW245">
        <v>104</v>
      </c>
      <c r="AX245" t="s">
        <v>74</v>
      </c>
      <c r="AY245" t="s">
        <v>74</v>
      </c>
      <c r="AZ245" t="s">
        <v>74</v>
      </c>
      <c r="BA245" t="s">
        <v>74</v>
      </c>
      <c r="BB245">
        <v>9</v>
      </c>
      <c r="BC245">
        <v>19</v>
      </c>
      <c r="BD245" t="s">
        <v>74</v>
      </c>
      <c r="BE245" t="s">
        <v>3630</v>
      </c>
      <c r="BF245" t="str">
        <f>HYPERLINK("http://dx.doi.org/10.17533/udea.redin.20210739","http://dx.doi.org/10.17533/udea.redin.20210739")</f>
        <v>http://dx.doi.org/10.17533/udea.redin.20210739</v>
      </c>
      <c r="BG245" t="s">
        <v>74</v>
      </c>
      <c r="BH245" t="s">
        <v>74</v>
      </c>
      <c r="BI245">
        <v>11</v>
      </c>
      <c r="BJ245" t="s">
        <v>323</v>
      </c>
      <c r="BK245" t="s">
        <v>187</v>
      </c>
      <c r="BL245" t="s">
        <v>324</v>
      </c>
      <c r="BM245" t="s">
        <v>3631</v>
      </c>
      <c r="BN245" t="s">
        <v>74</v>
      </c>
      <c r="BO245" t="s">
        <v>3632</v>
      </c>
      <c r="BP245" t="s">
        <v>74</v>
      </c>
      <c r="BQ245" t="s">
        <v>74</v>
      </c>
      <c r="BR245" t="s">
        <v>105</v>
      </c>
      <c r="BS245" t="s">
        <v>3633</v>
      </c>
      <c r="BT245" t="str">
        <f>HYPERLINK("https%3A%2F%2Fwww.webofscience.com%2Fwos%2Fwoscc%2Ffull-record%2FWOS:000800704700002","View Full Record in Web of Science")</f>
        <v>View Full Record in Web of Science</v>
      </c>
    </row>
    <row r="246" spans="1:72" x14ac:dyDescent="0.2">
      <c r="A246" t="s">
        <v>72</v>
      </c>
      <c r="B246" t="s">
        <v>3579</v>
      </c>
      <c r="C246" t="s">
        <v>74</v>
      </c>
      <c r="D246" t="s">
        <v>74</v>
      </c>
      <c r="E246" t="s">
        <v>74</v>
      </c>
      <c r="F246" t="s">
        <v>3580</v>
      </c>
      <c r="G246" t="s">
        <v>74</v>
      </c>
      <c r="H246" t="s">
        <v>74</v>
      </c>
      <c r="I246" t="s">
        <v>3581</v>
      </c>
      <c r="J246" t="s">
        <v>1622</v>
      </c>
      <c r="K246" t="s">
        <v>74</v>
      </c>
      <c r="L246" t="s">
        <v>74</v>
      </c>
      <c r="M246" t="s">
        <v>78</v>
      </c>
      <c r="N246" t="s">
        <v>79</v>
      </c>
      <c r="O246" t="s">
        <v>74</v>
      </c>
      <c r="P246" t="s">
        <v>74</v>
      </c>
      <c r="Q246" t="s">
        <v>74</v>
      </c>
      <c r="R246" t="s">
        <v>74</v>
      </c>
      <c r="S246" t="s">
        <v>74</v>
      </c>
      <c r="T246" t="s">
        <v>3582</v>
      </c>
      <c r="U246" t="s">
        <v>74</v>
      </c>
      <c r="V246" t="s">
        <v>3583</v>
      </c>
      <c r="W246" s="1" t="s">
        <v>3584</v>
      </c>
      <c r="X246" t="s">
        <v>3585</v>
      </c>
      <c r="Y246" t="s">
        <v>3586</v>
      </c>
      <c r="Z246" t="s">
        <v>3587</v>
      </c>
      <c r="AA246" t="s">
        <v>74</v>
      </c>
      <c r="AB246" t="s">
        <v>74</v>
      </c>
      <c r="AC246" t="s">
        <v>74</v>
      </c>
      <c r="AD246" t="s">
        <v>74</v>
      </c>
      <c r="AE246" t="s">
        <v>74</v>
      </c>
      <c r="AF246" t="s">
        <v>3588</v>
      </c>
      <c r="AG246">
        <v>16</v>
      </c>
      <c r="AH246">
        <v>0</v>
      </c>
      <c r="AI246">
        <v>0</v>
      </c>
      <c r="AJ246">
        <v>0</v>
      </c>
      <c r="AK246">
        <v>0</v>
      </c>
      <c r="AL246" t="s">
        <v>1631</v>
      </c>
      <c r="AM246" t="s">
        <v>1632</v>
      </c>
      <c r="AN246" t="s">
        <v>1633</v>
      </c>
      <c r="AO246" t="s">
        <v>1634</v>
      </c>
      <c r="AP246" t="s">
        <v>1635</v>
      </c>
      <c r="AQ246" t="s">
        <v>74</v>
      </c>
      <c r="AR246" t="s">
        <v>1622</v>
      </c>
      <c r="AS246" t="s">
        <v>1622</v>
      </c>
      <c r="AT246" t="s">
        <v>1487</v>
      </c>
      <c r="AU246">
        <v>2022</v>
      </c>
      <c r="AV246">
        <v>18</v>
      </c>
      <c r="AW246">
        <v>2</v>
      </c>
      <c r="AX246" t="s">
        <v>74</v>
      </c>
      <c r="AY246" t="s">
        <v>74</v>
      </c>
      <c r="AZ246" t="s">
        <v>74</v>
      </c>
      <c r="BA246" t="s">
        <v>74</v>
      </c>
      <c r="BB246" t="s">
        <v>74</v>
      </c>
      <c r="BC246" t="s">
        <v>74</v>
      </c>
      <c r="BD246" t="s">
        <v>74</v>
      </c>
      <c r="BE246" t="s">
        <v>3589</v>
      </c>
      <c r="BF246" t="str">
        <f>HYPERLINK("http://dx.doi.org/10.17981/ingecuc.18.2.2022.09","http://dx.doi.org/10.17981/ingecuc.18.2.2022.09")</f>
        <v>http://dx.doi.org/10.17981/ingecuc.18.2.2022.09</v>
      </c>
      <c r="BG246" t="s">
        <v>74</v>
      </c>
      <c r="BH246" t="s">
        <v>74</v>
      </c>
      <c r="BI246">
        <v>1</v>
      </c>
      <c r="BJ246" t="s">
        <v>323</v>
      </c>
      <c r="BK246" t="s">
        <v>187</v>
      </c>
      <c r="BL246" t="s">
        <v>324</v>
      </c>
      <c r="BM246" t="s">
        <v>1637</v>
      </c>
      <c r="BN246" t="s">
        <v>74</v>
      </c>
      <c r="BO246" t="s">
        <v>74</v>
      </c>
      <c r="BP246" t="s">
        <v>74</v>
      </c>
      <c r="BQ246" t="s">
        <v>74</v>
      </c>
      <c r="BR246" t="s">
        <v>105</v>
      </c>
      <c r="BS246" t="s">
        <v>3590</v>
      </c>
      <c r="BT246" t="str">
        <f>HYPERLINK("https%3A%2F%2Fwww.webofscience.com%2Fwos%2Fwoscc%2Ffull-record%2FWOS:000917298600011","View Full Record in Web of Science")</f>
        <v>View Full Record in Web of Science</v>
      </c>
    </row>
    <row r="247" spans="1:72" x14ac:dyDescent="0.2">
      <c r="A247" t="s">
        <v>72</v>
      </c>
      <c r="B247" t="s">
        <v>2011</v>
      </c>
      <c r="C247" t="s">
        <v>74</v>
      </c>
      <c r="D247" t="s">
        <v>74</v>
      </c>
      <c r="E247" t="s">
        <v>74</v>
      </c>
      <c r="F247" t="s">
        <v>2012</v>
      </c>
      <c r="G247" t="s">
        <v>74</v>
      </c>
      <c r="H247" t="s">
        <v>74</v>
      </c>
      <c r="I247" t="s">
        <v>2013</v>
      </c>
      <c r="J247" t="s">
        <v>2014</v>
      </c>
      <c r="K247" t="s">
        <v>74</v>
      </c>
      <c r="L247" t="s">
        <v>74</v>
      </c>
      <c r="M247" t="s">
        <v>1517</v>
      </c>
      <c r="N247" t="s">
        <v>79</v>
      </c>
      <c r="O247" t="s">
        <v>74</v>
      </c>
      <c r="P247" t="s">
        <v>74</v>
      </c>
      <c r="Q247" t="s">
        <v>74</v>
      </c>
      <c r="R247" t="s">
        <v>74</v>
      </c>
      <c r="S247" t="s">
        <v>74</v>
      </c>
      <c r="T247" t="s">
        <v>2015</v>
      </c>
      <c r="U247" t="s">
        <v>74</v>
      </c>
      <c r="V247" t="s">
        <v>2016</v>
      </c>
      <c r="W247" s="1" t="s">
        <v>2017</v>
      </c>
      <c r="X247" t="s">
        <v>84</v>
      </c>
      <c r="Y247" t="s">
        <v>2018</v>
      </c>
      <c r="Z247" t="s">
        <v>2019</v>
      </c>
      <c r="AA247" t="s">
        <v>74</v>
      </c>
      <c r="AB247" t="s">
        <v>74</v>
      </c>
      <c r="AC247" t="s">
        <v>74</v>
      </c>
      <c r="AD247" t="s">
        <v>74</v>
      </c>
      <c r="AE247" t="s">
        <v>74</v>
      </c>
      <c r="AF247" t="s">
        <v>2020</v>
      </c>
      <c r="AG247">
        <v>18</v>
      </c>
      <c r="AH247">
        <v>0</v>
      </c>
      <c r="AI247">
        <v>0</v>
      </c>
      <c r="AJ247">
        <v>1</v>
      </c>
      <c r="AK247">
        <v>1</v>
      </c>
      <c r="AL247" t="s">
        <v>2021</v>
      </c>
      <c r="AM247" t="s">
        <v>1931</v>
      </c>
      <c r="AN247" t="s">
        <v>2022</v>
      </c>
      <c r="AO247" t="s">
        <v>2023</v>
      </c>
      <c r="AP247" t="s">
        <v>2024</v>
      </c>
      <c r="AQ247" t="s">
        <v>74</v>
      </c>
      <c r="AR247" t="s">
        <v>2014</v>
      </c>
      <c r="AS247" t="s">
        <v>2025</v>
      </c>
      <c r="AT247" t="s">
        <v>74</v>
      </c>
      <c r="AU247">
        <v>2022</v>
      </c>
      <c r="AV247" t="s">
        <v>74</v>
      </c>
      <c r="AW247">
        <v>43</v>
      </c>
      <c r="AX247" t="s">
        <v>74</v>
      </c>
      <c r="AY247" t="s">
        <v>74</v>
      </c>
      <c r="AZ247" t="s">
        <v>74</v>
      </c>
      <c r="BA247" t="s">
        <v>74</v>
      </c>
      <c r="BB247" t="s">
        <v>74</v>
      </c>
      <c r="BC247" t="s">
        <v>74</v>
      </c>
      <c r="BD247" t="s">
        <v>2026</v>
      </c>
      <c r="BE247" t="s">
        <v>2027</v>
      </c>
      <c r="BF247" t="str">
        <f>HYPERLINK("http://dx.doi.org/10.19053/01218530.n43.2022.13779","http://dx.doi.org/10.19053/01218530.n43.2022.13779")</f>
        <v>http://dx.doi.org/10.19053/01218530.n43.2022.13779</v>
      </c>
      <c r="BG247" t="s">
        <v>74</v>
      </c>
      <c r="BH247" t="s">
        <v>74</v>
      </c>
      <c r="BI247">
        <v>17</v>
      </c>
      <c r="BJ247" t="s">
        <v>2028</v>
      </c>
      <c r="BK247" t="s">
        <v>187</v>
      </c>
      <c r="BL247" t="s">
        <v>2028</v>
      </c>
      <c r="BM247" t="s">
        <v>2029</v>
      </c>
      <c r="BN247" t="s">
        <v>74</v>
      </c>
      <c r="BO247" t="s">
        <v>190</v>
      </c>
      <c r="BP247" t="s">
        <v>74</v>
      </c>
      <c r="BQ247" t="s">
        <v>74</v>
      </c>
      <c r="BR247" t="s">
        <v>105</v>
      </c>
      <c r="BS247" t="s">
        <v>2030</v>
      </c>
      <c r="BT247" t="str">
        <f>HYPERLINK("https%3A%2F%2Fwww.webofscience.com%2Fwos%2Fwoscc%2Ffull-record%2FWOS:000864831600004","View Full Record in Web of Science")</f>
        <v>View Full Record in Web of Science</v>
      </c>
    </row>
    <row r="248" spans="1:72" x14ac:dyDescent="0.2">
      <c r="A248" t="s">
        <v>72</v>
      </c>
      <c r="B248" t="s">
        <v>1981</v>
      </c>
      <c r="C248" t="s">
        <v>74</v>
      </c>
      <c r="D248" t="s">
        <v>74</v>
      </c>
      <c r="E248" t="s">
        <v>74</v>
      </c>
      <c r="F248" t="s">
        <v>1982</v>
      </c>
      <c r="G248" t="s">
        <v>74</v>
      </c>
      <c r="H248" t="s">
        <v>74</v>
      </c>
      <c r="I248" t="s">
        <v>1983</v>
      </c>
      <c r="J248" t="s">
        <v>1984</v>
      </c>
      <c r="K248" t="s">
        <v>74</v>
      </c>
      <c r="L248" t="s">
        <v>74</v>
      </c>
      <c r="M248" t="s">
        <v>78</v>
      </c>
      <c r="N248" t="s">
        <v>79</v>
      </c>
      <c r="O248" t="s">
        <v>74</v>
      </c>
      <c r="P248" t="s">
        <v>74</v>
      </c>
      <c r="Q248" t="s">
        <v>74</v>
      </c>
      <c r="R248" t="s">
        <v>74</v>
      </c>
      <c r="S248" t="s">
        <v>74</v>
      </c>
      <c r="T248" t="s">
        <v>1985</v>
      </c>
      <c r="U248" t="s">
        <v>1986</v>
      </c>
      <c r="V248" t="s">
        <v>1987</v>
      </c>
      <c r="W248" s="1" t="s">
        <v>1988</v>
      </c>
      <c r="X248" t="s">
        <v>84</v>
      </c>
      <c r="Y248" t="s">
        <v>1989</v>
      </c>
      <c r="Z248" t="s">
        <v>1990</v>
      </c>
      <c r="AA248" t="s">
        <v>74</v>
      </c>
      <c r="AB248" t="s">
        <v>1991</v>
      </c>
      <c r="AC248" t="s">
        <v>74</v>
      </c>
      <c r="AD248" t="s">
        <v>74</v>
      </c>
      <c r="AE248" t="s">
        <v>74</v>
      </c>
      <c r="AF248" t="s">
        <v>1992</v>
      </c>
      <c r="AG248">
        <v>53</v>
      </c>
      <c r="AH248">
        <v>0</v>
      </c>
      <c r="AI248">
        <v>0</v>
      </c>
      <c r="AJ248">
        <v>4</v>
      </c>
      <c r="AK248">
        <v>4</v>
      </c>
      <c r="AL248" t="s">
        <v>1993</v>
      </c>
      <c r="AM248" t="s">
        <v>1994</v>
      </c>
      <c r="AN248" t="s">
        <v>1995</v>
      </c>
      <c r="AO248" t="s">
        <v>1996</v>
      </c>
      <c r="AP248" t="s">
        <v>1997</v>
      </c>
      <c r="AQ248" t="s">
        <v>74</v>
      </c>
      <c r="AR248" t="s">
        <v>1998</v>
      </c>
      <c r="AS248" t="s">
        <v>1999</v>
      </c>
      <c r="AT248" t="s">
        <v>1487</v>
      </c>
      <c r="AU248">
        <v>2022</v>
      </c>
      <c r="AV248">
        <v>18</v>
      </c>
      <c r="AW248">
        <v>2</v>
      </c>
      <c r="AX248" t="s">
        <v>74</v>
      </c>
      <c r="AY248" t="s">
        <v>74</v>
      </c>
      <c r="AZ248" t="s">
        <v>74</v>
      </c>
      <c r="BA248" t="s">
        <v>74</v>
      </c>
      <c r="BB248">
        <v>1</v>
      </c>
      <c r="BC248">
        <v>27</v>
      </c>
      <c r="BD248" t="s">
        <v>74</v>
      </c>
      <c r="BE248" t="s">
        <v>2000</v>
      </c>
      <c r="BF248" t="str">
        <f>HYPERLINK("http://dx.doi.org/10.21676/23897856.3787","http://dx.doi.org/10.21676/23897856.3787")</f>
        <v>http://dx.doi.org/10.21676/23897856.3787</v>
      </c>
      <c r="BG248" t="s">
        <v>74</v>
      </c>
      <c r="BH248" t="s">
        <v>74</v>
      </c>
      <c r="BI248">
        <v>27</v>
      </c>
      <c r="BJ248" t="s">
        <v>963</v>
      </c>
      <c r="BK248" t="s">
        <v>187</v>
      </c>
      <c r="BL248" t="s">
        <v>963</v>
      </c>
      <c r="BM248" t="s">
        <v>2001</v>
      </c>
      <c r="BN248" t="s">
        <v>74</v>
      </c>
      <c r="BO248" t="s">
        <v>74</v>
      </c>
      <c r="BP248" t="s">
        <v>74</v>
      </c>
      <c r="BQ248" t="s">
        <v>74</v>
      </c>
      <c r="BR248" t="s">
        <v>105</v>
      </c>
      <c r="BS248" t="s">
        <v>2002</v>
      </c>
      <c r="BT248" t="str">
        <f>HYPERLINK("https%3A%2F%2Fwww.webofscience.com%2Fwos%2Fwoscc%2Ffull-record%2FWOS:000917188300001","View Full Record in Web of Science")</f>
        <v>View Full Record in Web of Science</v>
      </c>
    </row>
    <row r="249" spans="1:72" x14ac:dyDescent="0.2">
      <c r="A249" t="s">
        <v>72</v>
      </c>
      <c r="B249" t="s">
        <v>4635</v>
      </c>
      <c r="C249" t="s">
        <v>74</v>
      </c>
      <c r="D249" t="s">
        <v>74</v>
      </c>
      <c r="E249" t="s">
        <v>74</v>
      </c>
      <c r="F249" t="s">
        <v>4636</v>
      </c>
      <c r="G249" t="s">
        <v>74</v>
      </c>
      <c r="H249" t="s">
        <v>74</v>
      </c>
      <c r="I249" t="s">
        <v>4637</v>
      </c>
      <c r="J249" t="s">
        <v>4638</v>
      </c>
      <c r="K249" t="s">
        <v>74</v>
      </c>
      <c r="L249" t="s">
        <v>74</v>
      </c>
      <c r="M249" t="s">
        <v>78</v>
      </c>
      <c r="N249" t="s">
        <v>79</v>
      </c>
      <c r="O249" t="s">
        <v>74</v>
      </c>
      <c r="P249" t="s">
        <v>74</v>
      </c>
      <c r="Q249" t="s">
        <v>74</v>
      </c>
      <c r="R249" t="s">
        <v>74</v>
      </c>
      <c r="S249" t="s">
        <v>74</v>
      </c>
      <c r="T249" t="s">
        <v>4639</v>
      </c>
      <c r="U249" t="s">
        <v>4640</v>
      </c>
      <c r="V249" t="s">
        <v>4641</v>
      </c>
      <c r="W249" s="1" t="s">
        <v>4642</v>
      </c>
      <c r="X249" t="s">
        <v>4643</v>
      </c>
      <c r="Y249" t="s">
        <v>4644</v>
      </c>
      <c r="Z249" t="s">
        <v>4645</v>
      </c>
      <c r="AA249" t="s">
        <v>74</v>
      </c>
      <c r="AB249" t="s">
        <v>74</v>
      </c>
      <c r="AC249" t="s">
        <v>74</v>
      </c>
      <c r="AD249" t="s">
        <v>74</v>
      </c>
      <c r="AE249" t="s">
        <v>74</v>
      </c>
      <c r="AF249" t="s">
        <v>4646</v>
      </c>
      <c r="AG249">
        <v>61</v>
      </c>
      <c r="AH249">
        <v>0</v>
      </c>
      <c r="AI249">
        <v>0</v>
      </c>
      <c r="AJ249">
        <v>4</v>
      </c>
      <c r="AK249">
        <v>4</v>
      </c>
      <c r="AL249" t="s">
        <v>4647</v>
      </c>
      <c r="AM249" t="s">
        <v>2315</v>
      </c>
      <c r="AN249" t="s">
        <v>4648</v>
      </c>
      <c r="AO249" t="s">
        <v>4649</v>
      </c>
      <c r="AP249" t="s">
        <v>74</v>
      </c>
      <c r="AQ249" t="s">
        <v>74</v>
      </c>
      <c r="AR249" t="s">
        <v>4650</v>
      </c>
      <c r="AS249" t="s">
        <v>4651</v>
      </c>
      <c r="AT249" t="s">
        <v>1683</v>
      </c>
      <c r="AU249">
        <v>2022</v>
      </c>
      <c r="AV249">
        <v>57</v>
      </c>
      <c r="AW249">
        <v>4</v>
      </c>
      <c r="AX249" t="s">
        <v>74</v>
      </c>
      <c r="AY249" t="s">
        <v>74</v>
      </c>
      <c r="AZ249" t="s">
        <v>74</v>
      </c>
      <c r="BA249" t="s">
        <v>74</v>
      </c>
      <c r="BB249">
        <v>687</v>
      </c>
      <c r="BC249" t="s">
        <v>4652</v>
      </c>
      <c r="BD249" t="s">
        <v>74</v>
      </c>
      <c r="BE249" t="s">
        <v>4653</v>
      </c>
      <c r="BF249" t="str">
        <f>HYPERLINK("http://dx.doi.org/10.31055/1851.2372.v57.n4.36922","http://dx.doi.org/10.31055/1851.2372.v57.n4.36922")</f>
        <v>http://dx.doi.org/10.31055/1851.2372.v57.n4.36922</v>
      </c>
      <c r="BG249" t="s">
        <v>74</v>
      </c>
      <c r="BH249" t="s">
        <v>74</v>
      </c>
      <c r="BI249">
        <v>18</v>
      </c>
      <c r="BJ249" t="s">
        <v>3068</v>
      </c>
      <c r="BK249" t="s">
        <v>102</v>
      </c>
      <c r="BL249" t="s">
        <v>3068</v>
      </c>
      <c r="BM249" t="s">
        <v>4654</v>
      </c>
      <c r="BN249" t="s">
        <v>74</v>
      </c>
      <c r="BO249" t="s">
        <v>190</v>
      </c>
      <c r="BP249" t="s">
        <v>74</v>
      </c>
      <c r="BQ249" t="s">
        <v>74</v>
      </c>
      <c r="BR249" t="s">
        <v>105</v>
      </c>
      <c r="BS249" t="s">
        <v>4655</v>
      </c>
      <c r="BT249" t="str">
        <f>HYPERLINK("https%3A%2F%2Fwww.webofscience.com%2Fwos%2Fwoscc%2Ffull-record%2FWOS:000955377200003","View Full Record in Web of Science")</f>
        <v>View Full Record in Web of Science</v>
      </c>
    </row>
    <row r="250" spans="1:72" x14ac:dyDescent="0.2">
      <c r="A250" t="s">
        <v>72</v>
      </c>
      <c r="B250" t="s">
        <v>3045</v>
      </c>
      <c r="C250" t="s">
        <v>74</v>
      </c>
      <c r="D250" t="s">
        <v>74</v>
      </c>
      <c r="E250" t="s">
        <v>74</v>
      </c>
      <c r="F250" t="s">
        <v>3046</v>
      </c>
      <c r="G250" t="s">
        <v>74</v>
      </c>
      <c r="H250" t="s">
        <v>74</v>
      </c>
      <c r="I250" t="s">
        <v>3047</v>
      </c>
      <c r="J250" t="s">
        <v>3048</v>
      </c>
      <c r="K250" t="s">
        <v>74</v>
      </c>
      <c r="L250" t="s">
        <v>74</v>
      </c>
      <c r="M250" t="s">
        <v>78</v>
      </c>
      <c r="N250" t="s">
        <v>167</v>
      </c>
      <c r="O250" t="s">
        <v>74</v>
      </c>
      <c r="P250" t="s">
        <v>74</v>
      </c>
      <c r="Q250" t="s">
        <v>74</v>
      </c>
      <c r="R250" t="s">
        <v>74</v>
      </c>
      <c r="S250" t="s">
        <v>74</v>
      </c>
      <c r="T250" t="s">
        <v>74</v>
      </c>
      <c r="U250" t="s">
        <v>3049</v>
      </c>
      <c r="V250" t="s">
        <v>3050</v>
      </c>
      <c r="W250" s="1" t="s">
        <v>3051</v>
      </c>
      <c r="X250" t="s">
        <v>3052</v>
      </c>
      <c r="Y250" t="s">
        <v>3053</v>
      </c>
      <c r="Z250" t="s">
        <v>3054</v>
      </c>
      <c r="AA250" t="s">
        <v>3055</v>
      </c>
      <c r="AB250" t="s">
        <v>3056</v>
      </c>
      <c r="AC250" t="s">
        <v>3057</v>
      </c>
      <c r="AD250" t="s">
        <v>3058</v>
      </c>
      <c r="AE250" t="s">
        <v>3059</v>
      </c>
      <c r="AF250" t="s">
        <v>3060</v>
      </c>
      <c r="AG250">
        <v>104</v>
      </c>
      <c r="AH250">
        <v>21</v>
      </c>
      <c r="AI250">
        <v>23</v>
      </c>
      <c r="AJ250">
        <v>20</v>
      </c>
      <c r="AK250">
        <v>54</v>
      </c>
      <c r="AL250" t="s">
        <v>3061</v>
      </c>
      <c r="AM250" t="s">
        <v>547</v>
      </c>
      <c r="AN250" t="s">
        <v>3062</v>
      </c>
      <c r="AO250" t="s">
        <v>3063</v>
      </c>
      <c r="AP250" t="s">
        <v>3064</v>
      </c>
      <c r="AQ250" t="s">
        <v>74</v>
      </c>
      <c r="AR250" t="s">
        <v>3065</v>
      </c>
      <c r="AS250" t="s">
        <v>3066</v>
      </c>
      <c r="AT250" t="s">
        <v>268</v>
      </c>
      <c r="AU250">
        <v>2022</v>
      </c>
      <c r="AV250">
        <v>27</v>
      </c>
      <c r="AW250">
        <v>4</v>
      </c>
      <c r="AX250" t="s">
        <v>74</v>
      </c>
      <c r="AY250" t="s">
        <v>74</v>
      </c>
      <c r="AZ250" t="s">
        <v>74</v>
      </c>
      <c r="BA250" t="s">
        <v>74</v>
      </c>
      <c r="BB250">
        <v>364</v>
      </c>
      <c r="BC250">
        <v>378</v>
      </c>
      <c r="BD250" t="s">
        <v>74</v>
      </c>
      <c r="BE250" t="s">
        <v>3067</v>
      </c>
      <c r="BF250" t="str">
        <f>HYPERLINK("http://dx.doi.org/10.1016/j.tplants.2021.09.010","http://dx.doi.org/10.1016/j.tplants.2021.09.010")</f>
        <v>http://dx.doi.org/10.1016/j.tplants.2021.09.010</v>
      </c>
      <c r="BG250" t="s">
        <v>74</v>
      </c>
      <c r="BH250" t="s">
        <v>244</v>
      </c>
      <c r="BI250">
        <v>15</v>
      </c>
      <c r="BJ250" t="s">
        <v>3068</v>
      </c>
      <c r="BK250" t="s">
        <v>102</v>
      </c>
      <c r="BL250" t="s">
        <v>3068</v>
      </c>
      <c r="BM250" t="s">
        <v>3069</v>
      </c>
      <c r="BN250">
        <v>35000859</v>
      </c>
      <c r="BO250" t="s">
        <v>3070</v>
      </c>
      <c r="BP250" t="s">
        <v>3071</v>
      </c>
      <c r="BQ250" t="s">
        <v>3072</v>
      </c>
      <c r="BR250" t="s">
        <v>105</v>
      </c>
      <c r="BS250" t="s">
        <v>3073</v>
      </c>
      <c r="BT250" t="str">
        <f>HYPERLINK("https%3A%2F%2Fwww.webofscience.com%2Fwos%2Fwoscc%2Ffull-record%2FWOS:000767964800009","View Full Record in Web of Science")</f>
        <v>View Full Record in Web of Science</v>
      </c>
    </row>
    <row r="251" spans="1:72" x14ac:dyDescent="0.2">
      <c r="A251" t="s">
        <v>72</v>
      </c>
      <c r="B251" t="s">
        <v>3792</v>
      </c>
      <c r="C251" t="s">
        <v>74</v>
      </c>
      <c r="D251" t="s">
        <v>74</v>
      </c>
      <c r="E251" t="s">
        <v>74</v>
      </c>
      <c r="F251" t="s">
        <v>3793</v>
      </c>
      <c r="G251" t="s">
        <v>74</v>
      </c>
      <c r="H251" t="s">
        <v>74</v>
      </c>
      <c r="I251" t="s">
        <v>3794</v>
      </c>
      <c r="J251" t="s">
        <v>3795</v>
      </c>
      <c r="K251" t="s">
        <v>74</v>
      </c>
      <c r="L251" t="s">
        <v>74</v>
      </c>
      <c r="M251" t="s">
        <v>78</v>
      </c>
      <c r="N251" t="s">
        <v>79</v>
      </c>
      <c r="O251" t="s">
        <v>74</v>
      </c>
      <c r="P251" t="s">
        <v>74</v>
      </c>
      <c r="Q251" t="s">
        <v>74</v>
      </c>
      <c r="R251" t="s">
        <v>74</v>
      </c>
      <c r="S251" t="s">
        <v>74</v>
      </c>
      <c r="T251" t="s">
        <v>3796</v>
      </c>
      <c r="U251" t="s">
        <v>3797</v>
      </c>
      <c r="V251" t="s">
        <v>3798</v>
      </c>
      <c r="W251" s="1" t="s">
        <v>3799</v>
      </c>
      <c r="X251" t="s">
        <v>946</v>
      </c>
      <c r="Y251" t="s">
        <v>3800</v>
      </c>
      <c r="Z251" t="s">
        <v>3801</v>
      </c>
      <c r="AA251" t="s">
        <v>74</v>
      </c>
      <c r="AB251" t="s">
        <v>3802</v>
      </c>
      <c r="AC251" t="s">
        <v>74</v>
      </c>
      <c r="AD251" t="s">
        <v>74</v>
      </c>
      <c r="AE251" t="s">
        <v>74</v>
      </c>
      <c r="AF251" t="s">
        <v>3803</v>
      </c>
      <c r="AG251">
        <v>45</v>
      </c>
      <c r="AH251">
        <v>1</v>
      </c>
      <c r="AI251">
        <v>1</v>
      </c>
      <c r="AJ251">
        <v>5</v>
      </c>
      <c r="AK251">
        <v>5</v>
      </c>
      <c r="AL251" t="s">
        <v>93</v>
      </c>
      <c r="AM251" t="s">
        <v>94</v>
      </c>
      <c r="AN251" t="s">
        <v>95</v>
      </c>
      <c r="AO251" t="s">
        <v>74</v>
      </c>
      <c r="AP251" t="s">
        <v>3804</v>
      </c>
      <c r="AQ251" t="s">
        <v>74</v>
      </c>
      <c r="AR251" t="s">
        <v>3795</v>
      </c>
      <c r="AS251" t="s">
        <v>3805</v>
      </c>
      <c r="AT251" t="s">
        <v>1029</v>
      </c>
      <c r="AU251">
        <v>2023</v>
      </c>
      <c r="AV251">
        <v>9</v>
      </c>
      <c r="AW251">
        <v>2</v>
      </c>
      <c r="AX251" t="s">
        <v>74</v>
      </c>
      <c r="AY251" t="s">
        <v>74</v>
      </c>
      <c r="AZ251" t="s">
        <v>74</v>
      </c>
      <c r="BA251" t="s">
        <v>74</v>
      </c>
      <c r="BB251" t="s">
        <v>74</v>
      </c>
      <c r="BC251" t="s">
        <v>74</v>
      </c>
      <c r="BD251">
        <v>269</v>
      </c>
      <c r="BE251" t="s">
        <v>3806</v>
      </c>
      <c r="BF251" t="str">
        <f>HYPERLINK("http://dx.doi.org/10.3390/horticulturae9020269","http://dx.doi.org/10.3390/horticulturae9020269")</f>
        <v>http://dx.doi.org/10.3390/horticulturae9020269</v>
      </c>
      <c r="BG251" t="s">
        <v>74</v>
      </c>
      <c r="BH251" t="s">
        <v>74</v>
      </c>
      <c r="BI251">
        <v>12</v>
      </c>
      <c r="BJ251" t="s">
        <v>159</v>
      </c>
      <c r="BK251" t="s">
        <v>102</v>
      </c>
      <c r="BL251" t="s">
        <v>160</v>
      </c>
      <c r="BM251" t="s">
        <v>3807</v>
      </c>
      <c r="BN251" t="s">
        <v>74</v>
      </c>
      <c r="BO251" t="s">
        <v>190</v>
      </c>
      <c r="BP251" t="s">
        <v>74</v>
      </c>
      <c r="BQ251" t="s">
        <v>74</v>
      </c>
      <c r="BR251" t="s">
        <v>105</v>
      </c>
      <c r="BS251" t="s">
        <v>3808</v>
      </c>
      <c r="BT251" t="str">
        <f>HYPERLINK("https%3A%2F%2Fwww.webofscience.com%2Fwos%2Fwoscc%2Ffull-record%2FWOS:000939184800001","View Full Record in Web of Science")</f>
        <v>View Full Record in Web of Science</v>
      </c>
    </row>
    <row r="252" spans="1:72" x14ac:dyDescent="0.2">
      <c r="A252" t="s">
        <v>72</v>
      </c>
      <c r="B252" t="s">
        <v>3168</v>
      </c>
      <c r="C252" t="s">
        <v>74</v>
      </c>
      <c r="D252" t="s">
        <v>74</v>
      </c>
      <c r="E252" t="s">
        <v>74</v>
      </c>
      <c r="F252" t="s">
        <v>3169</v>
      </c>
      <c r="G252" t="s">
        <v>74</v>
      </c>
      <c r="H252" t="s">
        <v>74</v>
      </c>
      <c r="I252" t="s">
        <v>3170</v>
      </c>
      <c r="J252" t="s">
        <v>3171</v>
      </c>
      <c r="K252" t="s">
        <v>74</v>
      </c>
      <c r="L252" t="s">
        <v>74</v>
      </c>
      <c r="M252" t="s">
        <v>78</v>
      </c>
      <c r="N252" t="s">
        <v>79</v>
      </c>
      <c r="O252" t="s">
        <v>74</v>
      </c>
      <c r="P252" t="s">
        <v>74</v>
      </c>
      <c r="Q252" t="s">
        <v>74</v>
      </c>
      <c r="R252" t="s">
        <v>74</v>
      </c>
      <c r="S252" t="s">
        <v>74</v>
      </c>
      <c r="T252" t="s">
        <v>3172</v>
      </c>
      <c r="U252" t="s">
        <v>3173</v>
      </c>
      <c r="V252" t="s">
        <v>3174</v>
      </c>
      <c r="W252" s="1" t="s">
        <v>3175</v>
      </c>
      <c r="X252" t="s">
        <v>3176</v>
      </c>
      <c r="Y252" t="s">
        <v>3177</v>
      </c>
      <c r="Z252" t="s">
        <v>3178</v>
      </c>
      <c r="AA252" t="s">
        <v>74</v>
      </c>
      <c r="AB252" t="s">
        <v>74</v>
      </c>
      <c r="AC252" t="s">
        <v>74</v>
      </c>
      <c r="AD252" t="s">
        <v>74</v>
      </c>
      <c r="AE252" t="s">
        <v>74</v>
      </c>
      <c r="AF252" t="s">
        <v>3179</v>
      </c>
      <c r="AG252">
        <v>48</v>
      </c>
      <c r="AH252">
        <v>0</v>
      </c>
      <c r="AI252">
        <v>0</v>
      </c>
      <c r="AJ252">
        <v>0</v>
      </c>
      <c r="AK252">
        <v>0</v>
      </c>
      <c r="AL252" t="s">
        <v>3180</v>
      </c>
      <c r="AM252" t="s">
        <v>3181</v>
      </c>
      <c r="AN252" t="s">
        <v>3182</v>
      </c>
      <c r="AO252" t="s">
        <v>3183</v>
      </c>
      <c r="AP252" t="s">
        <v>74</v>
      </c>
      <c r="AQ252" t="s">
        <v>74</v>
      </c>
      <c r="AR252" t="s">
        <v>3184</v>
      </c>
      <c r="AS252" t="s">
        <v>3185</v>
      </c>
      <c r="AT252" t="s">
        <v>1162</v>
      </c>
      <c r="AU252">
        <v>2023</v>
      </c>
      <c r="AV252">
        <v>23</v>
      </c>
      <c r="AW252">
        <v>89</v>
      </c>
      <c r="AX252" t="s">
        <v>74</v>
      </c>
      <c r="AY252" t="s">
        <v>74</v>
      </c>
      <c r="AZ252" t="s">
        <v>74</v>
      </c>
      <c r="BA252" t="s">
        <v>74</v>
      </c>
      <c r="BB252">
        <v>388</v>
      </c>
      <c r="BC252">
        <v>401</v>
      </c>
      <c r="BD252" t="s">
        <v>74</v>
      </c>
      <c r="BE252" t="s">
        <v>3186</v>
      </c>
      <c r="BF252" t="str">
        <f>HYPERLINK("http://dx.doi.org/10.15366/rimcafd2023.89.027","http://dx.doi.org/10.15366/rimcafd2023.89.027")</f>
        <v>http://dx.doi.org/10.15366/rimcafd2023.89.027</v>
      </c>
      <c r="BG252" t="s">
        <v>74</v>
      </c>
      <c r="BH252" t="s">
        <v>74</v>
      </c>
      <c r="BI252">
        <v>14</v>
      </c>
      <c r="BJ252" t="s">
        <v>3187</v>
      </c>
      <c r="BK252" t="s">
        <v>102</v>
      </c>
      <c r="BL252" t="s">
        <v>3187</v>
      </c>
      <c r="BM252" t="s">
        <v>3188</v>
      </c>
      <c r="BN252" t="s">
        <v>74</v>
      </c>
      <c r="BO252" t="s">
        <v>74</v>
      </c>
      <c r="BP252" t="s">
        <v>74</v>
      </c>
      <c r="BQ252" t="s">
        <v>74</v>
      </c>
      <c r="BR252" t="s">
        <v>105</v>
      </c>
      <c r="BS252" t="s">
        <v>3189</v>
      </c>
      <c r="BT252" t="str">
        <f>HYPERLINK("https%3A%2F%2Fwww.webofscience.com%2Fwos%2Fwoscc%2Ffull-record%2FWOS:000986815500014","View Full Record in Web of Science")</f>
        <v>View Full Record in Web of Science</v>
      </c>
    </row>
    <row r="253" spans="1:72" x14ac:dyDescent="0.2">
      <c r="A253" t="s">
        <v>72</v>
      </c>
      <c r="B253" t="s">
        <v>4908</v>
      </c>
      <c r="C253" t="s">
        <v>74</v>
      </c>
      <c r="D253" t="s">
        <v>74</v>
      </c>
      <c r="E253" t="s">
        <v>74</v>
      </c>
      <c r="F253" t="s">
        <v>4909</v>
      </c>
      <c r="G253" t="s">
        <v>74</v>
      </c>
      <c r="H253" t="s">
        <v>74</v>
      </c>
      <c r="I253" t="s">
        <v>4910</v>
      </c>
      <c r="J253" t="s">
        <v>4911</v>
      </c>
      <c r="K253" t="s">
        <v>74</v>
      </c>
      <c r="L253" t="s">
        <v>74</v>
      </c>
      <c r="M253" t="s">
        <v>78</v>
      </c>
      <c r="N253" t="s">
        <v>79</v>
      </c>
      <c r="O253" t="s">
        <v>74</v>
      </c>
      <c r="P253" t="s">
        <v>74</v>
      </c>
      <c r="Q253" t="s">
        <v>74</v>
      </c>
      <c r="R253" t="s">
        <v>74</v>
      </c>
      <c r="S253" t="s">
        <v>74</v>
      </c>
      <c r="T253" t="s">
        <v>4912</v>
      </c>
      <c r="U253" t="s">
        <v>4913</v>
      </c>
      <c r="V253" t="s">
        <v>4914</v>
      </c>
      <c r="W253" s="1" t="s">
        <v>4915</v>
      </c>
      <c r="X253" t="s">
        <v>4916</v>
      </c>
      <c r="Y253" t="s">
        <v>4917</v>
      </c>
      <c r="Z253" t="s">
        <v>4918</v>
      </c>
      <c r="AA253" t="s">
        <v>4919</v>
      </c>
      <c r="AB253" t="s">
        <v>4920</v>
      </c>
      <c r="AC253" t="s">
        <v>4921</v>
      </c>
      <c r="AD253" t="s">
        <v>4922</v>
      </c>
      <c r="AE253" t="s">
        <v>4923</v>
      </c>
      <c r="AF253" t="s">
        <v>4924</v>
      </c>
      <c r="AG253">
        <v>61</v>
      </c>
      <c r="AH253">
        <v>0</v>
      </c>
      <c r="AI253">
        <v>0</v>
      </c>
      <c r="AJ253">
        <v>1</v>
      </c>
      <c r="AK253">
        <v>1</v>
      </c>
      <c r="AL253" t="s">
        <v>93</v>
      </c>
      <c r="AM253" t="s">
        <v>94</v>
      </c>
      <c r="AN253" t="s">
        <v>95</v>
      </c>
      <c r="AO253" t="s">
        <v>74</v>
      </c>
      <c r="AP253" t="s">
        <v>4925</v>
      </c>
      <c r="AQ253" t="s">
        <v>74</v>
      </c>
      <c r="AR253" t="s">
        <v>4911</v>
      </c>
      <c r="AS253" t="s">
        <v>4926</v>
      </c>
      <c r="AT253" t="s">
        <v>1162</v>
      </c>
      <c r="AU253">
        <v>2023</v>
      </c>
      <c r="AV253">
        <v>13</v>
      </c>
      <c r="AW253">
        <v>3</v>
      </c>
      <c r="AX253" t="s">
        <v>74</v>
      </c>
      <c r="AY253" t="s">
        <v>74</v>
      </c>
      <c r="AZ253" t="s">
        <v>74</v>
      </c>
      <c r="BA253" t="s">
        <v>74</v>
      </c>
      <c r="BB253" t="s">
        <v>74</v>
      </c>
      <c r="BC253" t="s">
        <v>74</v>
      </c>
      <c r="BD253">
        <v>603</v>
      </c>
      <c r="BE253" t="s">
        <v>4927</v>
      </c>
      <c r="BF253" t="str">
        <f>HYPERLINK("http://dx.doi.org/10.3390/catal13030603","http://dx.doi.org/10.3390/catal13030603")</f>
        <v>http://dx.doi.org/10.3390/catal13030603</v>
      </c>
      <c r="BG253" t="s">
        <v>74</v>
      </c>
      <c r="BH253" t="s">
        <v>74</v>
      </c>
      <c r="BI253">
        <v>17</v>
      </c>
      <c r="BJ253" t="s">
        <v>761</v>
      </c>
      <c r="BK253" t="s">
        <v>102</v>
      </c>
      <c r="BL253" t="s">
        <v>216</v>
      </c>
      <c r="BM253" t="s">
        <v>4928</v>
      </c>
      <c r="BN253" t="s">
        <v>74</v>
      </c>
      <c r="BO253" t="s">
        <v>190</v>
      </c>
      <c r="BP253" t="s">
        <v>74</v>
      </c>
      <c r="BQ253" t="s">
        <v>74</v>
      </c>
      <c r="BR253" t="s">
        <v>105</v>
      </c>
      <c r="BS253" t="s">
        <v>4929</v>
      </c>
      <c r="BT253" t="str">
        <f>HYPERLINK("https%3A%2F%2Fwww.webofscience.com%2Fwos%2Fwoscc%2Ffull-record%2FWOS:000957452500001","View Full Record in Web of Science")</f>
        <v>View Full Record in Web of Science</v>
      </c>
    </row>
    <row r="254" spans="1:72" x14ac:dyDescent="0.2">
      <c r="A254" t="s">
        <v>72</v>
      </c>
      <c r="B254" t="s">
        <v>2281</v>
      </c>
      <c r="C254" t="s">
        <v>74</v>
      </c>
      <c r="D254" t="s">
        <v>74</v>
      </c>
      <c r="E254" t="s">
        <v>74</v>
      </c>
      <c r="F254" t="s">
        <v>2282</v>
      </c>
      <c r="G254" t="s">
        <v>74</v>
      </c>
      <c r="H254" t="s">
        <v>74</v>
      </c>
      <c r="I254" t="s">
        <v>2283</v>
      </c>
      <c r="J254" t="s">
        <v>2284</v>
      </c>
      <c r="K254" t="s">
        <v>74</v>
      </c>
      <c r="L254" t="s">
        <v>74</v>
      </c>
      <c r="M254" t="s">
        <v>1517</v>
      </c>
      <c r="N254" t="s">
        <v>79</v>
      </c>
      <c r="O254" t="s">
        <v>74</v>
      </c>
      <c r="P254" t="s">
        <v>74</v>
      </c>
      <c r="Q254" t="s">
        <v>74</v>
      </c>
      <c r="R254" t="s">
        <v>74</v>
      </c>
      <c r="S254" t="s">
        <v>74</v>
      </c>
      <c r="T254" t="s">
        <v>2285</v>
      </c>
      <c r="U254" t="s">
        <v>2286</v>
      </c>
      <c r="V254" t="s">
        <v>2287</v>
      </c>
      <c r="W254" s="1" t="s">
        <v>2288</v>
      </c>
      <c r="X254" t="s">
        <v>284</v>
      </c>
      <c r="Y254" t="s">
        <v>2289</v>
      </c>
      <c r="Z254" t="s">
        <v>2290</v>
      </c>
      <c r="AA254" t="s">
        <v>74</v>
      </c>
      <c r="AB254" t="s">
        <v>2291</v>
      </c>
      <c r="AC254" t="s">
        <v>74</v>
      </c>
      <c r="AD254" t="s">
        <v>74</v>
      </c>
      <c r="AE254" t="s">
        <v>74</v>
      </c>
      <c r="AF254" t="s">
        <v>2292</v>
      </c>
      <c r="AG254">
        <v>47</v>
      </c>
      <c r="AH254">
        <v>0</v>
      </c>
      <c r="AI254">
        <v>0</v>
      </c>
      <c r="AJ254">
        <v>0</v>
      </c>
      <c r="AK254">
        <v>0</v>
      </c>
      <c r="AL254" t="s">
        <v>2293</v>
      </c>
      <c r="AM254" t="s">
        <v>2294</v>
      </c>
      <c r="AN254" t="s">
        <v>2295</v>
      </c>
      <c r="AO254" t="s">
        <v>2296</v>
      </c>
      <c r="AP254" t="s">
        <v>2297</v>
      </c>
      <c r="AQ254" t="s">
        <v>74</v>
      </c>
      <c r="AR254" t="s">
        <v>2298</v>
      </c>
      <c r="AS254" t="s">
        <v>2299</v>
      </c>
      <c r="AT254" t="s">
        <v>931</v>
      </c>
      <c r="AU254">
        <v>2022</v>
      </c>
      <c r="AV254">
        <v>44</v>
      </c>
      <c r="AW254">
        <v>2</v>
      </c>
      <c r="AX254" t="s">
        <v>74</v>
      </c>
      <c r="AY254" t="s">
        <v>74</v>
      </c>
      <c r="AZ254" t="s">
        <v>74</v>
      </c>
      <c r="BA254" t="s">
        <v>74</v>
      </c>
      <c r="BB254">
        <v>51</v>
      </c>
      <c r="BC254">
        <v>72</v>
      </c>
      <c r="BD254" t="s">
        <v>74</v>
      </c>
      <c r="BE254" t="s">
        <v>2300</v>
      </c>
      <c r="BF254" t="str">
        <f>HYPERLINK("http://dx.doi.org/10.18273/revbol.v44n2-2022002","http://dx.doi.org/10.18273/revbol.v44n2-2022002")</f>
        <v>http://dx.doi.org/10.18273/revbol.v44n2-2022002</v>
      </c>
      <c r="BG254" t="s">
        <v>74</v>
      </c>
      <c r="BH254" t="s">
        <v>74</v>
      </c>
      <c r="BI254">
        <v>22</v>
      </c>
      <c r="BJ254" t="s">
        <v>2301</v>
      </c>
      <c r="BK254" t="s">
        <v>187</v>
      </c>
      <c r="BL254" t="s">
        <v>2301</v>
      </c>
      <c r="BM254" t="s">
        <v>2302</v>
      </c>
      <c r="BN254" t="s">
        <v>74</v>
      </c>
      <c r="BO254" t="s">
        <v>419</v>
      </c>
      <c r="BP254" t="s">
        <v>74</v>
      </c>
      <c r="BQ254" t="s">
        <v>74</v>
      </c>
      <c r="BR254" t="s">
        <v>105</v>
      </c>
      <c r="BS254" t="s">
        <v>2303</v>
      </c>
      <c r="BT254" t="str">
        <f>HYPERLINK("https%3A%2F%2Fwww.webofscience.com%2Fwos%2Fwoscc%2Ffull-record%2FWOS:000826221200002","View Full Record in Web of Science")</f>
        <v>View Full Record in Web of Science</v>
      </c>
    </row>
    <row r="255" spans="1:72" x14ac:dyDescent="0.2">
      <c r="A255" t="s">
        <v>72</v>
      </c>
      <c r="B255" t="s">
        <v>3523</v>
      </c>
      <c r="C255" t="s">
        <v>74</v>
      </c>
      <c r="D255" t="s">
        <v>74</v>
      </c>
      <c r="E255" t="s">
        <v>74</v>
      </c>
      <c r="F255" t="s">
        <v>3524</v>
      </c>
      <c r="G255" t="s">
        <v>74</v>
      </c>
      <c r="H255" t="s">
        <v>74</v>
      </c>
      <c r="I255" t="s">
        <v>3525</v>
      </c>
      <c r="J255" t="s">
        <v>1299</v>
      </c>
      <c r="K255" t="s">
        <v>74</v>
      </c>
      <c r="L255" t="s">
        <v>74</v>
      </c>
      <c r="M255" t="s">
        <v>78</v>
      </c>
      <c r="N255" t="s">
        <v>79</v>
      </c>
      <c r="O255" t="s">
        <v>74</v>
      </c>
      <c r="P255" t="s">
        <v>74</v>
      </c>
      <c r="Q255" t="s">
        <v>74</v>
      </c>
      <c r="R255" t="s">
        <v>74</v>
      </c>
      <c r="S255" t="s">
        <v>74</v>
      </c>
      <c r="T255" t="s">
        <v>3526</v>
      </c>
      <c r="U255" t="s">
        <v>3527</v>
      </c>
      <c r="V255" t="s">
        <v>3528</v>
      </c>
      <c r="W255" s="1" t="s">
        <v>3529</v>
      </c>
      <c r="X255" t="s">
        <v>1824</v>
      </c>
      <c r="Y255" t="s">
        <v>3530</v>
      </c>
      <c r="Z255" t="s">
        <v>3531</v>
      </c>
      <c r="AA255" t="s">
        <v>74</v>
      </c>
      <c r="AB255" t="s">
        <v>3532</v>
      </c>
      <c r="AC255" t="s">
        <v>74</v>
      </c>
      <c r="AD255" t="s">
        <v>74</v>
      </c>
      <c r="AE255" t="s">
        <v>74</v>
      </c>
      <c r="AF255" t="s">
        <v>3533</v>
      </c>
      <c r="AG255">
        <v>58</v>
      </c>
      <c r="AH255">
        <v>0</v>
      </c>
      <c r="AI255">
        <v>0</v>
      </c>
      <c r="AJ255">
        <v>4</v>
      </c>
      <c r="AK255">
        <v>4</v>
      </c>
      <c r="AL255" t="s">
        <v>93</v>
      </c>
      <c r="AM255" t="s">
        <v>94</v>
      </c>
      <c r="AN255" t="s">
        <v>95</v>
      </c>
      <c r="AO255" t="s">
        <v>74</v>
      </c>
      <c r="AP255" t="s">
        <v>1311</v>
      </c>
      <c r="AQ255" t="s">
        <v>74</v>
      </c>
      <c r="AR255" t="s">
        <v>1299</v>
      </c>
      <c r="AS255" t="s">
        <v>1312</v>
      </c>
      <c r="AT255" t="s">
        <v>1683</v>
      </c>
      <c r="AU255">
        <v>2022</v>
      </c>
      <c r="AV255">
        <v>12</v>
      </c>
      <c r="AW255">
        <v>12</v>
      </c>
      <c r="AX255" t="s">
        <v>74</v>
      </c>
      <c r="AY255" t="s">
        <v>74</v>
      </c>
      <c r="AZ255" t="s">
        <v>74</v>
      </c>
      <c r="BA255" t="s">
        <v>74</v>
      </c>
      <c r="BB255" t="s">
        <v>74</v>
      </c>
      <c r="BC255" t="s">
        <v>74</v>
      </c>
      <c r="BD255">
        <v>1831</v>
      </c>
      <c r="BE255" t="s">
        <v>3534</v>
      </c>
      <c r="BF255" t="str">
        <f>HYPERLINK("http://dx.doi.org/10.3390/cryst12121831","http://dx.doi.org/10.3390/cryst12121831")</f>
        <v>http://dx.doi.org/10.3390/cryst12121831</v>
      </c>
      <c r="BG255" t="s">
        <v>74</v>
      </c>
      <c r="BH255" t="s">
        <v>74</v>
      </c>
      <c r="BI255">
        <v>14</v>
      </c>
      <c r="BJ255" t="s">
        <v>1314</v>
      </c>
      <c r="BK255" t="s">
        <v>102</v>
      </c>
      <c r="BL255" t="s">
        <v>1315</v>
      </c>
      <c r="BM255" t="s">
        <v>3535</v>
      </c>
      <c r="BN255" t="s">
        <v>74</v>
      </c>
      <c r="BO255" t="s">
        <v>190</v>
      </c>
      <c r="BP255" t="s">
        <v>74</v>
      </c>
      <c r="BQ255" t="s">
        <v>74</v>
      </c>
      <c r="BR255" t="s">
        <v>105</v>
      </c>
      <c r="BS255" t="s">
        <v>3536</v>
      </c>
      <c r="BT255" t="str">
        <f>HYPERLINK("https%3A%2F%2Fwww.webofscience.com%2Fwos%2Fwoscc%2Ffull-record%2FWOS:000900525000001","View Full Record in Web of Science")</f>
        <v>View Full Record in Web of Science</v>
      </c>
    </row>
    <row r="256" spans="1:72" x14ac:dyDescent="0.2">
      <c r="A256" t="s">
        <v>72</v>
      </c>
      <c r="B256" t="s">
        <v>6189</v>
      </c>
      <c r="C256" t="s">
        <v>74</v>
      </c>
      <c r="D256" t="s">
        <v>74</v>
      </c>
      <c r="E256" t="s">
        <v>74</v>
      </c>
      <c r="F256" t="s">
        <v>6190</v>
      </c>
      <c r="G256" t="s">
        <v>74</v>
      </c>
      <c r="H256" t="s">
        <v>74</v>
      </c>
      <c r="I256" t="s">
        <v>6191</v>
      </c>
      <c r="J256" t="s">
        <v>941</v>
      </c>
      <c r="K256" t="s">
        <v>74</v>
      </c>
      <c r="L256" t="s">
        <v>74</v>
      </c>
      <c r="M256" t="s">
        <v>78</v>
      </c>
      <c r="N256" t="s">
        <v>79</v>
      </c>
      <c r="O256" t="s">
        <v>74</v>
      </c>
      <c r="P256" t="s">
        <v>74</v>
      </c>
      <c r="Q256" t="s">
        <v>74</v>
      </c>
      <c r="R256" t="s">
        <v>74</v>
      </c>
      <c r="S256" t="s">
        <v>74</v>
      </c>
      <c r="T256" t="s">
        <v>6192</v>
      </c>
      <c r="U256" t="s">
        <v>6193</v>
      </c>
      <c r="V256" t="s">
        <v>6194</v>
      </c>
      <c r="W256" s="1" t="s">
        <v>6195</v>
      </c>
      <c r="X256" t="s">
        <v>6196</v>
      </c>
      <c r="Y256" t="s">
        <v>6197</v>
      </c>
      <c r="Z256" t="s">
        <v>6198</v>
      </c>
      <c r="AA256" t="s">
        <v>74</v>
      </c>
      <c r="AB256" t="s">
        <v>6199</v>
      </c>
      <c r="AC256" t="s">
        <v>74</v>
      </c>
      <c r="AD256" t="s">
        <v>74</v>
      </c>
      <c r="AE256" t="s">
        <v>74</v>
      </c>
      <c r="AF256" t="s">
        <v>6200</v>
      </c>
      <c r="AG256">
        <v>39</v>
      </c>
      <c r="AH256">
        <v>0</v>
      </c>
      <c r="AI256">
        <v>0</v>
      </c>
      <c r="AJ256">
        <v>1</v>
      </c>
      <c r="AK256">
        <v>2</v>
      </c>
      <c r="AL256" t="s">
        <v>954</v>
      </c>
      <c r="AM256" t="s">
        <v>316</v>
      </c>
      <c r="AN256" t="s">
        <v>955</v>
      </c>
      <c r="AO256" t="s">
        <v>956</v>
      </c>
      <c r="AP256" t="s">
        <v>957</v>
      </c>
      <c r="AQ256" t="s">
        <v>74</v>
      </c>
      <c r="AR256" t="s">
        <v>958</v>
      </c>
      <c r="AS256" t="s">
        <v>959</v>
      </c>
      <c r="AT256" t="s">
        <v>931</v>
      </c>
      <c r="AU256">
        <v>2022</v>
      </c>
      <c r="AV256">
        <v>44</v>
      </c>
      <c r="AW256">
        <v>2</v>
      </c>
      <c r="AX256" t="s">
        <v>74</v>
      </c>
      <c r="AY256" t="s">
        <v>74</v>
      </c>
      <c r="AZ256" t="s">
        <v>74</v>
      </c>
      <c r="BA256" t="s">
        <v>74</v>
      </c>
      <c r="BB256">
        <v>272</v>
      </c>
      <c r="BC256">
        <v>281</v>
      </c>
      <c r="BD256" t="s">
        <v>74</v>
      </c>
      <c r="BE256" t="s">
        <v>6201</v>
      </c>
      <c r="BF256" t="str">
        <f>HYPERLINK("http://dx.doi.org/10.14483/23448350.18500","http://dx.doi.org/10.14483/23448350.18500")</f>
        <v>http://dx.doi.org/10.14483/23448350.18500</v>
      </c>
      <c r="BG256" t="s">
        <v>74</v>
      </c>
      <c r="BH256" t="s">
        <v>74</v>
      </c>
      <c r="BI256">
        <v>10</v>
      </c>
      <c r="BJ256" t="s">
        <v>962</v>
      </c>
      <c r="BK256" t="s">
        <v>187</v>
      </c>
      <c r="BL256" t="s">
        <v>963</v>
      </c>
      <c r="BM256" t="s">
        <v>6202</v>
      </c>
      <c r="BN256" t="s">
        <v>74</v>
      </c>
      <c r="BO256" t="s">
        <v>419</v>
      </c>
      <c r="BP256" t="s">
        <v>74</v>
      </c>
      <c r="BQ256" t="s">
        <v>74</v>
      </c>
      <c r="BR256" t="s">
        <v>105</v>
      </c>
      <c r="BS256" t="s">
        <v>6203</v>
      </c>
      <c r="BT256" t="str">
        <f>HYPERLINK("https%3A%2F%2Fwww.webofscience.com%2Fwos%2Fwoscc%2Ffull-record%2FWOS:000800621400009","View Full Record in Web of Science")</f>
        <v>View Full Record in Web of Science</v>
      </c>
    </row>
    <row r="257" spans="1:72" x14ac:dyDescent="0.2">
      <c r="A257" t="s">
        <v>72</v>
      </c>
      <c r="B257" t="s">
        <v>4448</v>
      </c>
      <c r="C257" t="s">
        <v>74</v>
      </c>
      <c r="D257" t="s">
        <v>74</v>
      </c>
      <c r="E257" t="s">
        <v>74</v>
      </c>
      <c r="F257" t="s">
        <v>4449</v>
      </c>
      <c r="G257" t="s">
        <v>74</v>
      </c>
      <c r="H257" t="s">
        <v>74</v>
      </c>
      <c r="I257" t="s">
        <v>4450</v>
      </c>
      <c r="J257" t="s">
        <v>4451</v>
      </c>
      <c r="K257" t="s">
        <v>74</v>
      </c>
      <c r="L257" t="s">
        <v>74</v>
      </c>
      <c r="M257" t="s">
        <v>78</v>
      </c>
      <c r="N257" t="s">
        <v>137</v>
      </c>
      <c r="O257" t="s">
        <v>74</v>
      </c>
      <c r="P257" t="s">
        <v>74</v>
      </c>
      <c r="Q257" t="s">
        <v>74</v>
      </c>
      <c r="R257" t="s">
        <v>74</v>
      </c>
      <c r="S257" t="s">
        <v>74</v>
      </c>
      <c r="T257" t="s">
        <v>4452</v>
      </c>
      <c r="U257" t="s">
        <v>4453</v>
      </c>
      <c r="V257" t="s">
        <v>4454</v>
      </c>
      <c r="W257" s="1" t="s">
        <v>4455</v>
      </c>
      <c r="X257" t="s">
        <v>4456</v>
      </c>
      <c r="Y257" t="s">
        <v>4457</v>
      </c>
      <c r="Z257" t="s">
        <v>4458</v>
      </c>
      <c r="AA257" t="s">
        <v>4459</v>
      </c>
      <c r="AB257" t="s">
        <v>4460</v>
      </c>
      <c r="AC257" t="s">
        <v>4461</v>
      </c>
      <c r="AD257" t="s">
        <v>4461</v>
      </c>
      <c r="AE257" t="s">
        <v>4462</v>
      </c>
      <c r="AF257" t="s">
        <v>4463</v>
      </c>
      <c r="AG257">
        <v>62</v>
      </c>
      <c r="AH257">
        <v>0</v>
      </c>
      <c r="AI257">
        <v>0</v>
      </c>
      <c r="AJ257">
        <v>0</v>
      </c>
      <c r="AK257">
        <v>0</v>
      </c>
      <c r="AL257" t="s">
        <v>4020</v>
      </c>
      <c r="AM257" t="s">
        <v>547</v>
      </c>
      <c r="AN257" t="s">
        <v>4021</v>
      </c>
      <c r="AO257" t="s">
        <v>4464</v>
      </c>
      <c r="AP257" t="s">
        <v>4465</v>
      </c>
      <c r="AQ257" t="s">
        <v>74</v>
      </c>
      <c r="AR257" t="s">
        <v>4466</v>
      </c>
      <c r="AS257" t="s">
        <v>4467</v>
      </c>
      <c r="AT257" t="s">
        <v>4468</v>
      </c>
      <c r="AU257">
        <v>2023</v>
      </c>
      <c r="AV257" t="s">
        <v>74</v>
      </c>
      <c r="AW257" t="s">
        <v>74</v>
      </c>
      <c r="AX257" t="s">
        <v>74</v>
      </c>
      <c r="AY257" t="s">
        <v>74</v>
      </c>
      <c r="AZ257" t="s">
        <v>74</v>
      </c>
      <c r="BA257" t="s">
        <v>74</v>
      </c>
      <c r="BB257" t="s">
        <v>74</v>
      </c>
      <c r="BC257" t="s">
        <v>74</v>
      </c>
      <c r="BD257" t="s">
        <v>74</v>
      </c>
      <c r="BE257" t="s">
        <v>4469</v>
      </c>
      <c r="BF257" t="str">
        <f>HYPERLINK("http://dx.doi.org/10.1177/02557614231152310","http://dx.doi.org/10.1177/02557614231152310")</f>
        <v>http://dx.doi.org/10.1177/02557614231152310</v>
      </c>
      <c r="BG257" t="s">
        <v>74</v>
      </c>
      <c r="BH257" t="s">
        <v>4470</v>
      </c>
      <c r="BI257">
        <v>19</v>
      </c>
      <c r="BJ257" t="s">
        <v>4471</v>
      </c>
      <c r="BK257" t="s">
        <v>4472</v>
      </c>
      <c r="BL257" t="s">
        <v>4471</v>
      </c>
      <c r="BM257" t="s">
        <v>4473</v>
      </c>
      <c r="BN257" t="s">
        <v>74</v>
      </c>
      <c r="BO257" t="s">
        <v>74</v>
      </c>
      <c r="BP257" t="s">
        <v>74</v>
      </c>
      <c r="BQ257" t="s">
        <v>74</v>
      </c>
      <c r="BR257" t="s">
        <v>105</v>
      </c>
      <c r="BS257" t="s">
        <v>4474</v>
      </c>
      <c r="BT257" t="str">
        <f>HYPERLINK("https%3A%2F%2Fwww.webofscience.com%2Fwos%2Fwoscc%2Ffull-record%2FWOS:000932712700001","View Full Record in Web of Science")</f>
        <v>View Full Record in Web of Science</v>
      </c>
    </row>
    <row r="258" spans="1:72" x14ac:dyDescent="0.2">
      <c r="A258" t="s">
        <v>72</v>
      </c>
      <c r="B258" t="s">
        <v>4402</v>
      </c>
      <c r="C258" t="s">
        <v>74</v>
      </c>
      <c r="D258" t="s">
        <v>74</v>
      </c>
      <c r="E258" t="s">
        <v>74</v>
      </c>
      <c r="F258" t="s">
        <v>4403</v>
      </c>
      <c r="G258" t="s">
        <v>74</v>
      </c>
      <c r="H258" t="s">
        <v>74</v>
      </c>
      <c r="I258" t="s">
        <v>4404</v>
      </c>
      <c r="J258" t="s">
        <v>4405</v>
      </c>
      <c r="K258" t="s">
        <v>74</v>
      </c>
      <c r="L258" t="s">
        <v>74</v>
      </c>
      <c r="M258" t="s">
        <v>78</v>
      </c>
      <c r="N258" t="s">
        <v>79</v>
      </c>
      <c r="O258" t="s">
        <v>74</v>
      </c>
      <c r="P258" t="s">
        <v>74</v>
      </c>
      <c r="Q258" t="s">
        <v>74</v>
      </c>
      <c r="R258" t="s">
        <v>74</v>
      </c>
      <c r="S258" t="s">
        <v>74</v>
      </c>
      <c r="T258" t="s">
        <v>4406</v>
      </c>
      <c r="U258" t="s">
        <v>4407</v>
      </c>
      <c r="V258" t="s">
        <v>4408</v>
      </c>
      <c r="W258" s="1" t="s">
        <v>4409</v>
      </c>
      <c r="X258" t="s">
        <v>4410</v>
      </c>
      <c r="Y258" t="s">
        <v>4411</v>
      </c>
      <c r="Z258" t="s">
        <v>4412</v>
      </c>
      <c r="AA258" t="s">
        <v>4413</v>
      </c>
      <c r="AB258" t="s">
        <v>4414</v>
      </c>
      <c r="AC258" t="s">
        <v>4415</v>
      </c>
      <c r="AD258" t="s">
        <v>4416</v>
      </c>
      <c r="AE258" t="s">
        <v>4417</v>
      </c>
      <c r="AF258" t="s">
        <v>4418</v>
      </c>
      <c r="AG258">
        <v>45</v>
      </c>
      <c r="AH258">
        <v>0</v>
      </c>
      <c r="AI258">
        <v>0</v>
      </c>
      <c r="AJ258">
        <v>0</v>
      </c>
      <c r="AK258">
        <v>2</v>
      </c>
      <c r="AL258" t="s">
        <v>2837</v>
      </c>
      <c r="AM258" t="s">
        <v>2838</v>
      </c>
      <c r="AN258" t="s">
        <v>2839</v>
      </c>
      <c r="AO258" t="s">
        <v>4419</v>
      </c>
      <c r="AP258" t="s">
        <v>4420</v>
      </c>
      <c r="AQ258" t="s">
        <v>74</v>
      </c>
      <c r="AR258" t="s">
        <v>4421</v>
      </c>
      <c r="AS258" t="s">
        <v>4422</v>
      </c>
      <c r="AT258" t="s">
        <v>4423</v>
      </c>
      <c r="AU258">
        <v>2022</v>
      </c>
      <c r="AV258">
        <v>11</v>
      </c>
      <c r="AW258">
        <v>1</v>
      </c>
      <c r="AX258" t="s">
        <v>74</v>
      </c>
      <c r="AY258" t="s">
        <v>74</v>
      </c>
      <c r="AZ258" t="s">
        <v>74</v>
      </c>
      <c r="BA258" t="s">
        <v>74</v>
      </c>
      <c r="BB258">
        <v>395</v>
      </c>
      <c r="BC258">
        <v>410</v>
      </c>
      <c r="BD258" t="s">
        <v>74</v>
      </c>
      <c r="BE258" t="s">
        <v>4424</v>
      </c>
      <c r="BF258" t="str">
        <f>HYPERLINK("http://dx.doi.org/10.1515/nleng-2022-0043","http://dx.doi.org/10.1515/nleng-2022-0043")</f>
        <v>http://dx.doi.org/10.1515/nleng-2022-0043</v>
      </c>
      <c r="BG258" t="s">
        <v>74</v>
      </c>
      <c r="BH258" t="s">
        <v>74</v>
      </c>
      <c r="BI258">
        <v>16</v>
      </c>
      <c r="BJ258" t="s">
        <v>4425</v>
      </c>
      <c r="BK258" t="s">
        <v>187</v>
      </c>
      <c r="BL258" t="s">
        <v>4426</v>
      </c>
      <c r="BM258" t="s">
        <v>4427</v>
      </c>
      <c r="BN258" t="s">
        <v>74</v>
      </c>
      <c r="BO258" t="s">
        <v>190</v>
      </c>
      <c r="BP258" t="s">
        <v>74</v>
      </c>
      <c r="BQ258" t="s">
        <v>74</v>
      </c>
      <c r="BR258" t="s">
        <v>105</v>
      </c>
      <c r="BS258" t="s">
        <v>4428</v>
      </c>
      <c r="BT258" t="str">
        <f>HYPERLINK("https%3A%2F%2Fwww.webofscience.com%2Fwos%2Fwoscc%2Ffull-record%2FWOS:000837784800001","View Full Record in Web of Science")</f>
        <v>View Full Record in Web of Science</v>
      </c>
    </row>
    <row r="259" spans="1:72" x14ac:dyDescent="0.2">
      <c r="A259" t="s">
        <v>72</v>
      </c>
      <c r="B259" t="s">
        <v>2204</v>
      </c>
      <c r="C259" t="s">
        <v>74</v>
      </c>
      <c r="D259" t="s">
        <v>74</v>
      </c>
      <c r="E259" t="s">
        <v>74</v>
      </c>
      <c r="F259" t="s">
        <v>2205</v>
      </c>
      <c r="G259" t="s">
        <v>74</v>
      </c>
      <c r="H259" t="s">
        <v>74</v>
      </c>
      <c r="I259" t="s">
        <v>2206</v>
      </c>
      <c r="J259" t="s">
        <v>2207</v>
      </c>
      <c r="K259" t="s">
        <v>74</v>
      </c>
      <c r="L259" t="s">
        <v>74</v>
      </c>
      <c r="M259" t="s">
        <v>78</v>
      </c>
      <c r="N259" t="s">
        <v>79</v>
      </c>
      <c r="O259" t="s">
        <v>74</v>
      </c>
      <c r="P259" t="s">
        <v>74</v>
      </c>
      <c r="Q259" t="s">
        <v>74</v>
      </c>
      <c r="R259" t="s">
        <v>74</v>
      </c>
      <c r="S259" t="s">
        <v>74</v>
      </c>
      <c r="T259" t="s">
        <v>2208</v>
      </c>
      <c r="U259" t="s">
        <v>74</v>
      </c>
      <c r="V259" t="s">
        <v>2209</v>
      </c>
      <c r="W259" s="1" t="s">
        <v>2210</v>
      </c>
      <c r="X259" t="s">
        <v>84</v>
      </c>
      <c r="Y259" t="s">
        <v>2211</v>
      </c>
      <c r="Z259" t="s">
        <v>2212</v>
      </c>
      <c r="AA259" t="s">
        <v>74</v>
      </c>
      <c r="AB259" t="s">
        <v>74</v>
      </c>
      <c r="AC259" t="s">
        <v>74</v>
      </c>
      <c r="AD259" t="s">
        <v>74</v>
      </c>
      <c r="AE259" t="s">
        <v>74</v>
      </c>
      <c r="AF259" t="s">
        <v>2213</v>
      </c>
      <c r="AG259">
        <v>26</v>
      </c>
      <c r="AH259">
        <v>0</v>
      </c>
      <c r="AI259">
        <v>0</v>
      </c>
      <c r="AJ259">
        <v>3</v>
      </c>
      <c r="AK259">
        <v>3</v>
      </c>
      <c r="AL259" t="s">
        <v>2214</v>
      </c>
      <c r="AM259" t="s">
        <v>2215</v>
      </c>
      <c r="AN259" t="s">
        <v>2216</v>
      </c>
      <c r="AO259" t="s">
        <v>2217</v>
      </c>
      <c r="AP259" t="s">
        <v>2218</v>
      </c>
      <c r="AQ259" t="s">
        <v>74</v>
      </c>
      <c r="AR259" t="s">
        <v>2219</v>
      </c>
      <c r="AS259" t="s">
        <v>2220</v>
      </c>
      <c r="AT259" t="s">
        <v>1753</v>
      </c>
      <c r="AU259">
        <v>2022</v>
      </c>
      <c r="AV259">
        <v>18</v>
      </c>
      <c r="AW259" t="s">
        <v>74</v>
      </c>
      <c r="AX259" t="s">
        <v>74</v>
      </c>
      <c r="AY259" t="s">
        <v>74</v>
      </c>
      <c r="AZ259" t="s">
        <v>74</v>
      </c>
      <c r="BA259" t="s">
        <v>74</v>
      </c>
      <c r="BB259">
        <v>1</v>
      </c>
      <c r="BC259">
        <v>20</v>
      </c>
      <c r="BD259" t="s">
        <v>74</v>
      </c>
      <c r="BE259" t="s">
        <v>2221</v>
      </c>
      <c r="BF259" t="str">
        <f>HYPERLINK("http://dx.doi.org/10.12957/childphilo.2022.67275","http://dx.doi.org/10.12957/childphilo.2022.67275")</f>
        <v>http://dx.doi.org/10.12957/childphilo.2022.67275</v>
      </c>
      <c r="BG259" t="s">
        <v>74</v>
      </c>
      <c r="BH259" t="s">
        <v>74</v>
      </c>
      <c r="BI259">
        <v>20</v>
      </c>
      <c r="BJ259" t="s">
        <v>2222</v>
      </c>
      <c r="BK259" t="s">
        <v>187</v>
      </c>
      <c r="BL259" t="s">
        <v>2222</v>
      </c>
      <c r="BM259" t="s">
        <v>2223</v>
      </c>
      <c r="BN259" t="s">
        <v>74</v>
      </c>
      <c r="BO259" t="s">
        <v>190</v>
      </c>
      <c r="BP259" t="s">
        <v>74</v>
      </c>
      <c r="BQ259" t="s">
        <v>74</v>
      </c>
      <c r="BR259" t="s">
        <v>105</v>
      </c>
      <c r="BS259" t="s">
        <v>2224</v>
      </c>
      <c r="BT259" t="str">
        <f>HYPERLINK("https%3A%2F%2Fwww.webofscience.com%2Fwos%2Fwoscc%2Ffull-record%2FWOS:000877479200001","View Full Record in Web of Science")</f>
        <v>View Full Record in Web of Science</v>
      </c>
    </row>
    <row r="260" spans="1:72" x14ac:dyDescent="0.2">
      <c r="A260" t="s">
        <v>72</v>
      </c>
      <c r="B260" t="s">
        <v>5632</v>
      </c>
      <c r="C260" t="s">
        <v>74</v>
      </c>
      <c r="D260" t="s">
        <v>74</v>
      </c>
      <c r="E260" t="s">
        <v>74</v>
      </c>
      <c r="F260" t="s">
        <v>5633</v>
      </c>
      <c r="G260" t="s">
        <v>74</v>
      </c>
      <c r="H260" t="s">
        <v>74</v>
      </c>
      <c r="I260" t="s">
        <v>5634</v>
      </c>
      <c r="J260" t="s">
        <v>279</v>
      </c>
      <c r="K260" t="s">
        <v>74</v>
      </c>
      <c r="L260" t="s">
        <v>74</v>
      </c>
      <c r="M260" t="s">
        <v>78</v>
      </c>
      <c r="N260" t="s">
        <v>79</v>
      </c>
      <c r="O260" t="s">
        <v>74</v>
      </c>
      <c r="P260" t="s">
        <v>74</v>
      </c>
      <c r="Q260" t="s">
        <v>74</v>
      </c>
      <c r="R260" t="s">
        <v>74</v>
      </c>
      <c r="S260" t="s">
        <v>74</v>
      </c>
      <c r="T260" t="s">
        <v>5635</v>
      </c>
      <c r="U260" t="s">
        <v>5636</v>
      </c>
      <c r="V260" t="s">
        <v>5637</v>
      </c>
      <c r="W260" s="1" t="s">
        <v>5638</v>
      </c>
      <c r="X260" t="s">
        <v>5639</v>
      </c>
      <c r="Y260" t="s">
        <v>5640</v>
      </c>
      <c r="Z260" t="s">
        <v>5641</v>
      </c>
      <c r="AA260" t="s">
        <v>5642</v>
      </c>
      <c r="AB260" t="s">
        <v>5643</v>
      </c>
      <c r="AC260" t="s">
        <v>74</v>
      </c>
      <c r="AD260" t="s">
        <v>74</v>
      </c>
      <c r="AE260" t="s">
        <v>74</v>
      </c>
      <c r="AF260" t="s">
        <v>5644</v>
      </c>
      <c r="AG260">
        <v>98</v>
      </c>
      <c r="AH260">
        <v>0</v>
      </c>
      <c r="AI260">
        <v>0</v>
      </c>
      <c r="AJ260">
        <v>3</v>
      </c>
      <c r="AK260">
        <v>9</v>
      </c>
      <c r="AL260" t="s">
        <v>93</v>
      </c>
      <c r="AM260" t="s">
        <v>94</v>
      </c>
      <c r="AN260" t="s">
        <v>95</v>
      </c>
      <c r="AO260" t="s">
        <v>74</v>
      </c>
      <c r="AP260" t="s">
        <v>292</v>
      </c>
      <c r="AQ260" t="s">
        <v>74</v>
      </c>
      <c r="AR260" t="s">
        <v>293</v>
      </c>
      <c r="AS260" t="s">
        <v>294</v>
      </c>
      <c r="AT260" t="s">
        <v>1029</v>
      </c>
      <c r="AU260">
        <v>2022</v>
      </c>
      <c r="AV260">
        <v>14</v>
      </c>
      <c r="AW260">
        <v>3</v>
      </c>
      <c r="AX260" t="s">
        <v>74</v>
      </c>
      <c r="AY260" t="s">
        <v>74</v>
      </c>
      <c r="AZ260" t="s">
        <v>74</v>
      </c>
      <c r="BA260" t="s">
        <v>74</v>
      </c>
      <c r="BB260" t="s">
        <v>74</v>
      </c>
      <c r="BC260" t="s">
        <v>74</v>
      </c>
      <c r="BD260">
        <v>1390</v>
      </c>
      <c r="BE260" t="s">
        <v>5645</v>
      </c>
      <c r="BF260" t="str">
        <f>HYPERLINK("http://dx.doi.org/10.3390/su14031390","http://dx.doi.org/10.3390/su14031390")</f>
        <v>http://dx.doi.org/10.3390/su14031390</v>
      </c>
      <c r="BG260" t="s">
        <v>74</v>
      </c>
      <c r="BH260" t="s">
        <v>74</v>
      </c>
      <c r="BI260">
        <v>23</v>
      </c>
      <c r="BJ260" t="s">
        <v>297</v>
      </c>
      <c r="BK260" t="s">
        <v>298</v>
      </c>
      <c r="BL260" t="s">
        <v>299</v>
      </c>
      <c r="BM260" t="s">
        <v>5646</v>
      </c>
      <c r="BN260" t="s">
        <v>74</v>
      </c>
      <c r="BO260" t="s">
        <v>131</v>
      </c>
      <c r="BP260" t="s">
        <v>74</v>
      </c>
      <c r="BQ260" t="s">
        <v>74</v>
      </c>
      <c r="BR260" t="s">
        <v>105</v>
      </c>
      <c r="BS260" t="s">
        <v>5647</v>
      </c>
      <c r="BT260" t="str">
        <f>HYPERLINK("https%3A%2F%2Fwww.webofscience.com%2Fwos%2Fwoscc%2Ffull-record%2FWOS:000779011600001","View Full Record in Web of Science")</f>
        <v>View Full Record in Web of Science</v>
      </c>
    </row>
    <row r="261" spans="1:72" x14ac:dyDescent="0.2">
      <c r="A261" t="s">
        <v>72</v>
      </c>
      <c r="B261" t="s">
        <v>4054</v>
      </c>
      <c r="C261" t="s">
        <v>74</v>
      </c>
      <c r="D261" t="s">
        <v>74</v>
      </c>
      <c r="E261" t="s">
        <v>74</v>
      </c>
      <c r="F261" t="s">
        <v>4055</v>
      </c>
      <c r="G261" t="s">
        <v>74</v>
      </c>
      <c r="H261" t="s">
        <v>74</v>
      </c>
      <c r="I261" t="s">
        <v>4056</v>
      </c>
      <c r="J261" t="s">
        <v>4057</v>
      </c>
      <c r="K261" t="s">
        <v>74</v>
      </c>
      <c r="L261" t="s">
        <v>74</v>
      </c>
      <c r="M261" t="s">
        <v>1517</v>
      </c>
      <c r="N261" t="s">
        <v>79</v>
      </c>
      <c r="O261" t="s">
        <v>74</v>
      </c>
      <c r="P261" t="s">
        <v>74</v>
      </c>
      <c r="Q261" t="s">
        <v>74</v>
      </c>
      <c r="R261" t="s">
        <v>74</v>
      </c>
      <c r="S261" t="s">
        <v>74</v>
      </c>
      <c r="T261" t="s">
        <v>4058</v>
      </c>
      <c r="U261" t="s">
        <v>4059</v>
      </c>
      <c r="V261" t="s">
        <v>4060</v>
      </c>
      <c r="W261" s="1" t="s">
        <v>4061</v>
      </c>
      <c r="X261" t="s">
        <v>3996</v>
      </c>
      <c r="Y261" t="s">
        <v>4062</v>
      </c>
      <c r="Z261" t="s">
        <v>4063</v>
      </c>
      <c r="AA261" t="s">
        <v>74</v>
      </c>
      <c r="AB261" t="s">
        <v>74</v>
      </c>
      <c r="AC261" t="s">
        <v>74</v>
      </c>
      <c r="AD261" t="s">
        <v>74</v>
      </c>
      <c r="AE261" t="s">
        <v>74</v>
      </c>
      <c r="AF261" t="s">
        <v>4064</v>
      </c>
      <c r="AG261">
        <v>56</v>
      </c>
      <c r="AH261">
        <v>0</v>
      </c>
      <c r="AI261">
        <v>0</v>
      </c>
      <c r="AJ261">
        <v>1</v>
      </c>
      <c r="AK261">
        <v>1</v>
      </c>
      <c r="AL261" t="s">
        <v>4065</v>
      </c>
      <c r="AM261" t="s">
        <v>4066</v>
      </c>
      <c r="AN261" t="s">
        <v>4067</v>
      </c>
      <c r="AO261" t="s">
        <v>4068</v>
      </c>
      <c r="AP261" t="s">
        <v>4069</v>
      </c>
      <c r="AQ261" t="s">
        <v>74</v>
      </c>
      <c r="AR261" t="s">
        <v>4070</v>
      </c>
      <c r="AS261" t="s">
        <v>4071</v>
      </c>
      <c r="AT261" t="s">
        <v>3315</v>
      </c>
      <c r="AU261">
        <v>2023</v>
      </c>
      <c r="AV261">
        <v>14</v>
      </c>
      <c r="AW261">
        <v>1</v>
      </c>
      <c r="AX261" t="s">
        <v>74</v>
      </c>
      <c r="AY261" t="s">
        <v>74</v>
      </c>
      <c r="AZ261" t="s">
        <v>74</v>
      </c>
      <c r="BA261" t="s">
        <v>74</v>
      </c>
      <c r="BB261">
        <v>391</v>
      </c>
      <c r="BC261">
        <v>431</v>
      </c>
      <c r="BD261" t="s">
        <v>74</v>
      </c>
      <c r="BE261" t="s">
        <v>4072</v>
      </c>
      <c r="BF261" t="str">
        <f>HYPERLINK("http://dx.doi.org/10.24850/j-tyca-14-01-09","http://dx.doi.org/10.24850/j-tyca-14-01-09")</f>
        <v>http://dx.doi.org/10.24850/j-tyca-14-01-09</v>
      </c>
      <c r="BG261" t="s">
        <v>74</v>
      </c>
      <c r="BH261" t="s">
        <v>74</v>
      </c>
      <c r="BI261">
        <v>41</v>
      </c>
      <c r="BJ261" t="s">
        <v>4073</v>
      </c>
      <c r="BK261" t="s">
        <v>102</v>
      </c>
      <c r="BL261" t="s">
        <v>4074</v>
      </c>
      <c r="BM261" t="s">
        <v>4075</v>
      </c>
      <c r="BN261" t="s">
        <v>74</v>
      </c>
      <c r="BO261" t="s">
        <v>190</v>
      </c>
      <c r="BP261" t="s">
        <v>74</v>
      </c>
      <c r="BQ261" t="s">
        <v>74</v>
      </c>
      <c r="BR261" t="s">
        <v>105</v>
      </c>
      <c r="BS261" t="s">
        <v>4076</v>
      </c>
      <c r="BT261" t="str">
        <f>HYPERLINK("https%3A%2F%2Fwww.webofscience.com%2Fwos%2Fwoscc%2Ffull-record%2FWOS:000936482200009","View Full Record in Web of Science")</f>
        <v>View Full Record in Web of Science</v>
      </c>
    </row>
    <row r="262" spans="1:72" x14ac:dyDescent="0.2">
      <c r="A262" t="s">
        <v>72</v>
      </c>
      <c r="B262" t="s">
        <v>3988</v>
      </c>
      <c r="C262" t="s">
        <v>74</v>
      </c>
      <c r="D262" t="s">
        <v>74</v>
      </c>
      <c r="E262" t="s">
        <v>74</v>
      </c>
      <c r="F262" t="s">
        <v>3989</v>
      </c>
      <c r="G262" t="s">
        <v>74</v>
      </c>
      <c r="H262" t="s">
        <v>74</v>
      </c>
      <c r="I262" t="s">
        <v>3990</v>
      </c>
      <c r="J262" t="s">
        <v>3991</v>
      </c>
      <c r="K262" t="s">
        <v>74</v>
      </c>
      <c r="L262" t="s">
        <v>74</v>
      </c>
      <c r="M262" t="s">
        <v>1517</v>
      </c>
      <c r="N262" t="s">
        <v>79</v>
      </c>
      <c r="O262" t="s">
        <v>74</v>
      </c>
      <c r="P262" t="s">
        <v>74</v>
      </c>
      <c r="Q262" t="s">
        <v>74</v>
      </c>
      <c r="R262" t="s">
        <v>74</v>
      </c>
      <c r="S262" t="s">
        <v>74</v>
      </c>
      <c r="T262" t="s">
        <v>3992</v>
      </c>
      <c r="U262" t="s">
        <v>3993</v>
      </c>
      <c r="V262" t="s">
        <v>3994</v>
      </c>
      <c r="W262" s="1" t="s">
        <v>3995</v>
      </c>
      <c r="X262" t="s">
        <v>3996</v>
      </c>
      <c r="Y262" t="s">
        <v>3997</v>
      </c>
      <c r="Z262" t="s">
        <v>3998</v>
      </c>
      <c r="AA262" t="s">
        <v>74</v>
      </c>
      <c r="AB262" t="s">
        <v>3999</v>
      </c>
      <c r="AC262" t="s">
        <v>74</v>
      </c>
      <c r="AD262" t="s">
        <v>74</v>
      </c>
      <c r="AE262" t="s">
        <v>74</v>
      </c>
      <c r="AF262" t="s">
        <v>4000</v>
      </c>
      <c r="AG262">
        <v>35</v>
      </c>
      <c r="AH262">
        <v>0</v>
      </c>
      <c r="AI262">
        <v>0</v>
      </c>
      <c r="AJ262">
        <v>0</v>
      </c>
      <c r="AK262">
        <v>3</v>
      </c>
      <c r="AL262" t="s">
        <v>954</v>
      </c>
      <c r="AM262" t="s">
        <v>316</v>
      </c>
      <c r="AN262" t="s">
        <v>955</v>
      </c>
      <c r="AO262" t="s">
        <v>4001</v>
      </c>
      <c r="AP262" t="s">
        <v>4002</v>
      </c>
      <c r="AQ262" t="s">
        <v>74</v>
      </c>
      <c r="AR262" t="s">
        <v>4003</v>
      </c>
      <c r="AS262" t="s">
        <v>4004</v>
      </c>
      <c r="AT262" t="s">
        <v>960</v>
      </c>
      <c r="AU262">
        <v>2022</v>
      </c>
      <c r="AV262">
        <v>27</v>
      </c>
      <c r="AW262">
        <v>1</v>
      </c>
      <c r="AX262" t="s">
        <v>74</v>
      </c>
      <c r="AY262" t="s">
        <v>74</v>
      </c>
      <c r="AZ262" t="s">
        <v>74</v>
      </c>
      <c r="BA262" t="s">
        <v>74</v>
      </c>
      <c r="BB262" t="s">
        <v>74</v>
      </c>
      <c r="BC262" t="s">
        <v>74</v>
      </c>
      <c r="BD262" t="s">
        <v>4005</v>
      </c>
      <c r="BE262" t="s">
        <v>4006</v>
      </c>
      <c r="BF262" t="str">
        <f>HYPERLINK("http://dx.doi.org/10.14483/23448393.17467","http://dx.doi.org/10.14483/23448393.17467")</f>
        <v>http://dx.doi.org/10.14483/23448393.17467</v>
      </c>
      <c r="BG262" t="s">
        <v>74</v>
      </c>
      <c r="BH262" t="s">
        <v>74</v>
      </c>
      <c r="BI262">
        <v>14</v>
      </c>
      <c r="BJ262" t="s">
        <v>323</v>
      </c>
      <c r="BK262" t="s">
        <v>187</v>
      </c>
      <c r="BL262" t="s">
        <v>324</v>
      </c>
      <c r="BM262" t="s">
        <v>4007</v>
      </c>
      <c r="BN262" t="s">
        <v>74</v>
      </c>
      <c r="BO262" t="s">
        <v>419</v>
      </c>
      <c r="BP262" t="s">
        <v>74</v>
      </c>
      <c r="BQ262" t="s">
        <v>74</v>
      </c>
      <c r="BR262" t="s">
        <v>105</v>
      </c>
      <c r="BS262" t="s">
        <v>4008</v>
      </c>
      <c r="BT262" t="str">
        <f>HYPERLINK("https%3A%2F%2Fwww.webofscience.com%2Fwos%2Fwoscc%2Ffull-record%2FWOS:000798398500008","View Full Record in Web of Science")</f>
        <v>View Full Record in Web of Science</v>
      </c>
    </row>
    <row r="263" spans="1:72" x14ac:dyDescent="0.2">
      <c r="A263" t="s">
        <v>72</v>
      </c>
      <c r="B263" t="s">
        <v>3714</v>
      </c>
      <c r="C263" t="s">
        <v>74</v>
      </c>
      <c r="D263" t="s">
        <v>74</v>
      </c>
      <c r="E263" t="s">
        <v>74</v>
      </c>
      <c r="F263" t="s">
        <v>3715</v>
      </c>
      <c r="G263" t="s">
        <v>74</v>
      </c>
      <c r="H263" t="s">
        <v>74</v>
      </c>
      <c r="I263" t="s">
        <v>3716</v>
      </c>
      <c r="J263" t="s">
        <v>3717</v>
      </c>
      <c r="K263" t="s">
        <v>74</v>
      </c>
      <c r="L263" t="s">
        <v>74</v>
      </c>
      <c r="M263" t="s">
        <v>78</v>
      </c>
      <c r="N263" t="s">
        <v>79</v>
      </c>
      <c r="O263" t="s">
        <v>74</v>
      </c>
      <c r="P263" t="s">
        <v>74</v>
      </c>
      <c r="Q263" t="s">
        <v>74</v>
      </c>
      <c r="R263" t="s">
        <v>74</v>
      </c>
      <c r="S263" t="s">
        <v>74</v>
      </c>
      <c r="T263" t="s">
        <v>3718</v>
      </c>
      <c r="U263" t="s">
        <v>3719</v>
      </c>
      <c r="V263" t="s">
        <v>3720</v>
      </c>
      <c r="W263" s="1" t="s">
        <v>3721</v>
      </c>
      <c r="X263" t="s">
        <v>946</v>
      </c>
      <c r="Y263" t="s">
        <v>3722</v>
      </c>
      <c r="Z263" t="s">
        <v>3723</v>
      </c>
      <c r="AA263" t="s">
        <v>74</v>
      </c>
      <c r="AB263" t="s">
        <v>74</v>
      </c>
      <c r="AC263" t="s">
        <v>3724</v>
      </c>
      <c r="AD263" t="s">
        <v>3335</v>
      </c>
      <c r="AE263" t="s">
        <v>3725</v>
      </c>
      <c r="AF263" t="s">
        <v>3726</v>
      </c>
      <c r="AG263">
        <v>28</v>
      </c>
      <c r="AH263">
        <v>1</v>
      </c>
      <c r="AI263">
        <v>1</v>
      </c>
      <c r="AJ263">
        <v>0</v>
      </c>
      <c r="AK263">
        <v>0</v>
      </c>
      <c r="AL263" t="s">
        <v>1024</v>
      </c>
      <c r="AM263" t="s">
        <v>620</v>
      </c>
      <c r="AN263" t="s">
        <v>1025</v>
      </c>
      <c r="AO263" t="s">
        <v>3727</v>
      </c>
      <c r="AP263" t="s">
        <v>3728</v>
      </c>
      <c r="AQ263" t="s">
        <v>74</v>
      </c>
      <c r="AR263" t="s">
        <v>3729</v>
      </c>
      <c r="AS263" t="s">
        <v>3730</v>
      </c>
      <c r="AT263" t="s">
        <v>268</v>
      </c>
      <c r="AU263">
        <v>2023</v>
      </c>
      <c r="AV263">
        <v>160</v>
      </c>
      <c r="AW263" t="s">
        <v>74</v>
      </c>
      <c r="AX263" t="s">
        <v>74</v>
      </c>
      <c r="AY263" t="s">
        <v>74</v>
      </c>
      <c r="AZ263" t="s">
        <v>74</v>
      </c>
      <c r="BA263" t="s">
        <v>74</v>
      </c>
      <c r="BB263" t="s">
        <v>74</v>
      </c>
      <c r="BC263" t="s">
        <v>74</v>
      </c>
      <c r="BD263">
        <v>112127</v>
      </c>
      <c r="BE263" t="s">
        <v>3731</v>
      </c>
      <c r="BF263" t="str">
        <f>HYPERLINK("http://dx.doi.org/10.1016/j.materresbull.2022.112127","http://dx.doi.org/10.1016/j.materresbull.2022.112127")</f>
        <v>http://dx.doi.org/10.1016/j.materresbull.2022.112127</v>
      </c>
      <c r="BG263" t="s">
        <v>74</v>
      </c>
      <c r="BH263" t="s">
        <v>158</v>
      </c>
      <c r="BI263">
        <v>10</v>
      </c>
      <c r="BJ263" t="s">
        <v>3732</v>
      </c>
      <c r="BK263" t="s">
        <v>102</v>
      </c>
      <c r="BL263" t="s">
        <v>3733</v>
      </c>
      <c r="BM263" t="s">
        <v>3734</v>
      </c>
      <c r="BN263" t="s">
        <v>74</v>
      </c>
      <c r="BO263" t="s">
        <v>74</v>
      </c>
      <c r="BP263" t="s">
        <v>74</v>
      </c>
      <c r="BQ263" t="s">
        <v>74</v>
      </c>
      <c r="BR263" t="s">
        <v>105</v>
      </c>
      <c r="BS263" t="s">
        <v>3735</v>
      </c>
      <c r="BT263" t="str">
        <f>HYPERLINK("https%3A%2F%2Fwww.webofscience.com%2Fwos%2Fwoscc%2Ffull-record%2FWOS:000936543900001","View Full Record in Web of Science")</f>
        <v>View Full Record in Web of Science</v>
      </c>
    </row>
    <row r="264" spans="1:72" x14ac:dyDescent="0.2">
      <c r="A264" t="s">
        <v>72</v>
      </c>
      <c r="B264" t="s">
        <v>3750</v>
      </c>
      <c r="C264" t="s">
        <v>74</v>
      </c>
      <c r="D264" t="s">
        <v>74</v>
      </c>
      <c r="E264" t="s">
        <v>74</v>
      </c>
      <c r="F264" t="s">
        <v>3751</v>
      </c>
      <c r="G264" t="s">
        <v>74</v>
      </c>
      <c r="H264" t="s">
        <v>74</v>
      </c>
      <c r="I264" t="s">
        <v>3752</v>
      </c>
      <c r="J264" t="s">
        <v>3753</v>
      </c>
      <c r="K264" t="s">
        <v>74</v>
      </c>
      <c r="L264" t="s">
        <v>74</v>
      </c>
      <c r="M264" t="s">
        <v>78</v>
      </c>
      <c r="N264" t="s">
        <v>79</v>
      </c>
      <c r="O264" t="s">
        <v>74</v>
      </c>
      <c r="P264" t="s">
        <v>74</v>
      </c>
      <c r="Q264" t="s">
        <v>74</v>
      </c>
      <c r="R264" t="s">
        <v>74</v>
      </c>
      <c r="S264" t="s">
        <v>74</v>
      </c>
      <c r="T264" t="s">
        <v>3754</v>
      </c>
      <c r="U264" t="s">
        <v>3755</v>
      </c>
      <c r="V264" t="s">
        <v>3756</v>
      </c>
      <c r="W264" s="1" t="s">
        <v>3757</v>
      </c>
      <c r="X264" t="s">
        <v>3758</v>
      </c>
      <c r="Y264" t="s">
        <v>3759</v>
      </c>
      <c r="Z264" t="s">
        <v>3760</v>
      </c>
      <c r="AA264" t="s">
        <v>3761</v>
      </c>
      <c r="AB264" t="s">
        <v>3762</v>
      </c>
      <c r="AC264" t="s">
        <v>3763</v>
      </c>
      <c r="AD264" t="s">
        <v>3764</v>
      </c>
      <c r="AE264" t="s">
        <v>3765</v>
      </c>
      <c r="AF264" t="s">
        <v>3766</v>
      </c>
      <c r="AG264">
        <v>15</v>
      </c>
      <c r="AH264">
        <v>0</v>
      </c>
      <c r="AI264">
        <v>0</v>
      </c>
      <c r="AJ264">
        <v>0</v>
      </c>
      <c r="AK264">
        <v>1</v>
      </c>
      <c r="AL264" t="s">
        <v>3767</v>
      </c>
      <c r="AM264" t="s">
        <v>3768</v>
      </c>
      <c r="AN264" t="s">
        <v>3769</v>
      </c>
      <c r="AO264" t="s">
        <v>3770</v>
      </c>
      <c r="AP264" t="s">
        <v>3771</v>
      </c>
      <c r="AQ264" t="s">
        <v>74</v>
      </c>
      <c r="AR264" t="s">
        <v>3753</v>
      </c>
      <c r="AS264" t="s">
        <v>3772</v>
      </c>
      <c r="AT264" t="s">
        <v>3773</v>
      </c>
      <c r="AU264">
        <v>2022</v>
      </c>
      <c r="AV264">
        <v>5162</v>
      </c>
      <c r="AW264">
        <v>3</v>
      </c>
      <c r="AX264" t="s">
        <v>74</v>
      </c>
      <c r="AY264" t="s">
        <v>74</v>
      </c>
      <c r="AZ264" t="s">
        <v>74</v>
      </c>
      <c r="BA264" t="s">
        <v>74</v>
      </c>
      <c r="BB264">
        <v>277</v>
      </c>
      <c r="BC264">
        <v>289</v>
      </c>
      <c r="BD264" t="s">
        <v>74</v>
      </c>
      <c r="BE264" t="s">
        <v>3774</v>
      </c>
      <c r="BF264" t="str">
        <f>HYPERLINK("http://dx.doi.org/10.11646/zootaxa.5162.3.5","http://dx.doi.org/10.11646/zootaxa.5162.3.5")</f>
        <v>http://dx.doi.org/10.11646/zootaxa.5162.3.5</v>
      </c>
      <c r="BG264" t="s">
        <v>74</v>
      </c>
      <c r="BH264" t="s">
        <v>74</v>
      </c>
      <c r="BI264">
        <v>13</v>
      </c>
      <c r="BJ264" t="s">
        <v>1712</v>
      </c>
      <c r="BK264" t="s">
        <v>102</v>
      </c>
      <c r="BL264" t="s">
        <v>1712</v>
      </c>
      <c r="BM264" t="s">
        <v>3775</v>
      </c>
      <c r="BN264">
        <v>36095506</v>
      </c>
      <c r="BO264" t="s">
        <v>74</v>
      </c>
      <c r="BP264" t="s">
        <v>74</v>
      </c>
      <c r="BQ264" t="s">
        <v>74</v>
      </c>
      <c r="BR264" t="s">
        <v>105</v>
      </c>
      <c r="BS264" t="s">
        <v>3776</v>
      </c>
      <c r="BT264" t="str">
        <f>HYPERLINK("https%3A%2F%2Fwww.webofscience.com%2Fwos%2Fwoscc%2Ffull-record%2FWOS:000827646900003","View Full Record in Web of Science")</f>
        <v>View Full Record in Web of Science</v>
      </c>
    </row>
    <row r="265" spans="1:72" x14ac:dyDescent="0.2">
      <c r="A265" t="s">
        <v>72</v>
      </c>
      <c r="B265" t="s">
        <v>2225</v>
      </c>
      <c r="C265" t="s">
        <v>74</v>
      </c>
      <c r="D265" t="s">
        <v>74</v>
      </c>
      <c r="E265" t="s">
        <v>74</v>
      </c>
      <c r="F265" t="s">
        <v>2226</v>
      </c>
      <c r="G265" t="s">
        <v>74</v>
      </c>
      <c r="H265" t="s">
        <v>74</v>
      </c>
      <c r="I265" t="s">
        <v>2227</v>
      </c>
      <c r="J265" t="s">
        <v>2228</v>
      </c>
      <c r="K265" t="s">
        <v>74</v>
      </c>
      <c r="L265" t="s">
        <v>74</v>
      </c>
      <c r="M265" t="s">
        <v>1517</v>
      </c>
      <c r="N265" t="s">
        <v>79</v>
      </c>
      <c r="O265" t="s">
        <v>74</v>
      </c>
      <c r="P265" t="s">
        <v>74</v>
      </c>
      <c r="Q265" t="s">
        <v>74</v>
      </c>
      <c r="R265" t="s">
        <v>74</v>
      </c>
      <c r="S265" t="s">
        <v>74</v>
      </c>
      <c r="T265" t="s">
        <v>2229</v>
      </c>
      <c r="U265" t="s">
        <v>74</v>
      </c>
      <c r="V265" t="s">
        <v>2230</v>
      </c>
      <c r="W265" s="1" t="s">
        <v>2231</v>
      </c>
      <c r="X265" t="s">
        <v>84</v>
      </c>
      <c r="Y265" t="s">
        <v>2232</v>
      </c>
      <c r="Z265" t="s">
        <v>2233</v>
      </c>
      <c r="AA265" t="s">
        <v>74</v>
      </c>
      <c r="AB265" t="s">
        <v>74</v>
      </c>
      <c r="AC265" t="s">
        <v>74</v>
      </c>
      <c r="AD265" t="s">
        <v>74</v>
      </c>
      <c r="AE265" t="s">
        <v>74</v>
      </c>
      <c r="AF265" t="s">
        <v>2234</v>
      </c>
      <c r="AG265">
        <v>25</v>
      </c>
      <c r="AH265">
        <v>0</v>
      </c>
      <c r="AI265">
        <v>0</v>
      </c>
      <c r="AJ265">
        <v>0</v>
      </c>
      <c r="AK265">
        <v>0</v>
      </c>
      <c r="AL265" t="s">
        <v>1930</v>
      </c>
      <c r="AM265" t="s">
        <v>1931</v>
      </c>
      <c r="AN265" t="s">
        <v>1932</v>
      </c>
      <c r="AO265" t="s">
        <v>2235</v>
      </c>
      <c r="AP265" t="s">
        <v>2236</v>
      </c>
      <c r="AQ265" t="s">
        <v>74</v>
      </c>
      <c r="AR265" t="s">
        <v>2237</v>
      </c>
      <c r="AS265" t="s">
        <v>2238</v>
      </c>
      <c r="AT265" t="s">
        <v>1487</v>
      </c>
      <c r="AU265">
        <v>2022</v>
      </c>
      <c r="AV265">
        <v>41</v>
      </c>
      <c r="AW265">
        <v>74</v>
      </c>
      <c r="AX265" t="s">
        <v>74</v>
      </c>
      <c r="AY265" t="s">
        <v>74</v>
      </c>
      <c r="AZ265" t="s">
        <v>74</v>
      </c>
      <c r="BA265" t="s">
        <v>74</v>
      </c>
      <c r="BB265">
        <v>275</v>
      </c>
      <c r="BC265">
        <v>298</v>
      </c>
      <c r="BD265" t="s">
        <v>74</v>
      </c>
      <c r="BE265" t="s">
        <v>2239</v>
      </c>
      <c r="BF265" t="str">
        <f>HYPERLINK("http://dx.doi.org/10.19053/01203053.v41.n74.2022.14683","http://dx.doi.org/10.19053/01203053.v41.n74.2022.14683")</f>
        <v>http://dx.doi.org/10.19053/01203053.v41.n74.2022.14683</v>
      </c>
      <c r="BG265" t="s">
        <v>74</v>
      </c>
      <c r="BH265" t="s">
        <v>74</v>
      </c>
      <c r="BI265">
        <v>24</v>
      </c>
      <c r="BJ265" t="s">
        <v>2240</v>
      </c>
      <c r="BK265" t="s">
        <v>187</v>
      </c>
      <c r="BL265" t="s">
        <v>935</v>
      </c>
      <c r="BM265" t="s">
        <v>2241</v>
      </c>
      <c r="BN265" t="s">
        <v>74</v>
      </c>
      <c r="BO265" t="s">
        <v>419</v>
      </c>
      <c r="BP265" t="s">
        <v>74</v>
      </c>
      <c r="BQ265" t="s">
        <v>74</v>
      </c>
      <c r="BR265" t="s">
        <v>105</v>
      </c>
      <c r="BS265" t="s">
        <v>2242</v>
      </c>
      <c r="BT265" t="str">
        <f>HYPERLINK("https%3A%2F%2Fwww.webofscience.com%2Fwos%2Fwoscc%2Ffull-record%2FWOS:000843374600010","View Full Record in Web of Science")</f>
        <v>View Full Record in Web of Science</v>
      </c>
    </row>
    <row r="266" spans="1:72" x14ac:dyDescent="0.2">
      <c r="A266" t="s">
        <v>72</v>
      </c>
      <c r="B266" t="s">
        <v>4528</v>
      </c>
      <c r="C266" t="s">
        <v>74</v>
      </c>
      <c r="D266" t="s">
        <v>74</v>
      </c>
      <c r="E266" t="s">
        <v>74</v>
      </c>
      <c r="F266" t="s">
        <v>4529</v>
      </c>
      <c r="G266" t="s">
        <v>74</v>
      </c>
      <c r="H266" t="s">
        <v>74</v>
      </c>
      <c r="I266" t="s">
        <v>4530</v>
      </c>
      <c r="J266" t="s">
        <v>1796</v>
      </c>
      <c r="K266" t="s">
        <v>74</v>
      </c>
      <c r="L266" t="s">
        <v>74</v>
      </c>
      <c r="M266" t="s">
        <v>78</v>
      </c>
      <c r="N266" t="s">
        <v>167</v>
      </c>
      <c r="O266" t="s">
        <v>74</v>
      </c>
      <c r="P266" t="s">
        <v>74</v>
      </c>
      <c r="Q266" t="s">
        <v>74</v>
      </c>
      <c r="R266" t="s">
        <v>74</v>
      </c>
      <c r="S266" t="s">
        <v>74</v>
      </c>
      <c r="T266" t="s">
        <v>4531</v>
      </c>
      <c r="U266" t="s">
        <v>4532</v>
      </c>
      <c r="V266" t="s">
        <v>4533</v>
      </c>
      <c r="W266" s="1" t="s">
        <v>4534</v>
      </c>
      <c r="X266" t="s">
        <v>84</v>
      </c>
      <c r="Y266" t="s">
        <v>4535</v>
      </c>
      <c r="Z266" t="s">
        <v>4536</v>
      </c>
      <c r="AA266" t="s">
        <v>74</v>
      </c>
      <c r="AB266" t="s">
        <v>74</v>
      </c>
      <c r="AC266" t="s">
        <v>74</v>
      </c>
      <c r="AD266" t="s">
        <v>74</v>
      </c>
      <c r="AE266" t="s">
        <v>74</v>
      </c>
      <c r="AF266" t="s">
        <v>4537</v>
      </c>
      <c r="AG266">
        <v>50</v>
      </c>
      <c r="AH266">
        <v>0</v>
      </c>
      <c r="AI266">
        <v>0</v>
      </c>
      <c r="AJ266">
        <v>2</v>
      </c>
      <c r="AK266">
        <v>3</v>
      </c>
      <c r="AL266" t="s">
        <v>1805</v>
      </c>
      <c r="AM266" t="s">
        <v>1806</v>
      </c>
      <c r="AN266" t="s">
        <v>1807</v>
      </c>
      <c r="AO266" t="s">
        <v>1808</v>
      </c>
      <c r="AP266" t="s">
        <v>1809</v>
      </c>
      <c r="AQ266" t="s">
        <v>74</v>
      </c>
      <c r="AR266" t="s">
        <v>1810</v>
      </c>
      <c r="AS266" t="s">
        <v>1811</v>
      </c>
      <c r="AT266" t="s">
        <v>931</v>
      </c>
      <c r="AU266">
        <v>2022</v>
      </c>
      <c r="AV266">
        <v>13</v>
      </c>
      <c r="AW266">
        <v>2</v>
      </c>
      <c r="AX266" t="s">
        <v>74</v>
      </c>
      <c r="AY266" t="s">
        <v>74</v>
      </c>
      <c r="AZ266" t="s">
        <v>74</v>
      </c>
      <c r="BA266" t="s">
        <v>74</v>
      </c>
      <c r="BB266" t="s">
        <v>74</v>
      </c>
      <c r="BC266" t="s">
        <v>74</v>
      </c>
      <c r="BD266" t="s">
        <v>4538</v>
      </c>
      <c r="BE266" t="s">
        <v>4539</v>
      </c>
      <c r="BF266" t="str">
        <f>HYPERLINK("http://dx.doi.org/10.15649/cuidarte.2388","http://dx.doi.org/10.15649/cuidarte.2388")</f>
        <v>http://dx.doi.org/10.15649/cuidarte.2388</v>
      </c>
      <c r="BG266" t="s">
        <v>74</v>
      </c>
      <c r="BH266" t="s">
        <v>74</v>
      </c>
      <c r="BI266">
        <v>14</v>
      </c>
      <c r="BJ266" t="s">
        <v>1814</v>
      </c>
      <c r="BK266" t="s">
        <v>187</v>
      </c>
      <c r="BL266" t="s">
        <v>1814</v>
      </c>
      <c r="BM266" t="s">
        <v>1815</v>
      </c>
      <c r="BN266" t="s">
        <v>74</v>
      </c>
      <c r="BO266" t="s">
        <v>104</v>
      </c>
      <c r="BP266" t="s">
        <v>74</v>
      </c>
      <c r="BQ266" t="s">
        <v>74</v>
      </c>
      <c r="BR266" t="s">
        <v>105</v>
      </c>
      <c r="BS266" t="s">
        <v>4540</v>
      </c>
      <c r="BT266" t="str">
        <f>HYPERLINK("https%3A%2F%2Fwww.webofscience.com%2Fwos%2Fwoscc%2Ffull-record%2FWOS:000862979100008","View Full Record in Web of Science")</f>
        <v>View Full Record in Web of Science</v>
      </c>
    </row>
    <row r="267" spans="1:72" x14ac:dyDescent="0.2">
      <c r="A267" t="s">
        <v>72</v>
      </c>
      <c r="B267" t="s">
        <v>2801</v>
      </c>
      <c r="C267" t="s">
        <v>74</v>
      </c>
      <c r="D267" t="s">
        <v>74</v>
      </c>
      <c r="E267" t="s">
        <v>74</v>
      </c>
      <c r="F267" t="s">
        <v>2802</v>
      </c>
      <c r="G267" t="s">
        <v>74</v>
      </c>
      <c r="H267" t="s">
        <v>74</v>
      </c>
      <c r="I267" t="s">
        <v>2803</v>
      </c>
      <c r="J267" t="s">
        <v>2804</v>
      </c>
      <c r="K267" t="s">
        <v>74</v>
      </c>
      <c r="L267" t="s">
        <v>74</v>
      </c>
      <c r="M267" t="s">
        <v>78</v>
      </c>
      <c r="N267" t="s">
        <v>79</v>
      </c>
      <c r="O267" t="s">
        <v>74</v>
      </c>
      <c r="P267" t="s">
        <v>74</v>
      </c>
      <c r="Q267" t="s">
        <v>74</v>
      </c>
      <c r="R267" t="s">
        <v>74</v>
      </c>
      <c r="S267" t="s">
        <v>74</v>
      </c>
      <c r="T267" t="s">
        <v>2805</v>
      </c>
      <c r="U267" t="s">
        <v>2806</v>
      </c>
      <c r="V267" t="s">
        <v>2807</v>
      </c>
      <c r="W267" s="1" t="s">
        <v>2808</v>
      </c>
      <c r="X267" t="s">
        <v>84</v>
      </c>
      <c r="Y267" t="s">
        <v>2809</v>
      </c>
      <c r="Z267" t="s">
        <v>2810</v>
      </c>
      <c r="AA267" t="s">
        <v>74</v>
      </c>
      <c r="AB267" t="s">
        <v>74</v>
      </c>
      <c r="AC267" t="s">
        <v>74</v>
      </c>
      <c r="AD267" t="s">
        <v>74</v>
      </c>
      <c r="AE267" t="s">
        <v>74</v>
      </c>
      <c r="AF267" t="s">
        <v>2811</v>
      </c>
      <c r="AG267">
        <v>47</v>
      </c>
      <c r="AH267">
        <v>0</v>
      </c>
      <c r="AI267">
        <v>0</v>
      </c>
      <c r="AJ267">
        <v>1</v>
      </c>
      <c r="AK267">
        <v>4</v>
      </c>
      <c r="AL267" t="s">
        <v>2812</v>
      </c>
      <c r="AM267" t="s">
        <v>316</v>
      </c>
      <c r="AN267" t="s">
        <v>2813</v>
      </c>
      <c r="AO267" t="s">
        <v>2814</v>
      </c>
      <c r="AP267" t="s">
        <v>2815</v>
      </c>
      <c r="AQ267" t="s">
        <v>74</v>
      </c>
      <c r="AR267" t="s">
        <v>2816</v>
      </c>
      <c r="AS267" t="s">
        <v>2817</v>
      </c>
      <c r="AT267" t="s">
        <v>1527</v>
      </c>
      <c r="AU267">
        <v>2022</v>
      </c>
      <c r="AV267">
        <v>24</v>
      </c>
      <c r="AW267">
        <v>1</v>
      </c>
      <c r="AX267" t="s">
        <v>74</v>
      </c>
      <c r="AY267" t="s">
        <v>74</v>
      </c>
      <c r="AZ267" t="s">
        <v>74</v>
      </c>
      <c r="BA267" t="s">
        <v>74</v>
      </c>
      <c r="BB267">
        <v>105</v>
      </c>
      <c r="BC267">
        <v>118</v>
      </c>
      <c r="BD267" t="s">
        <v>74</v>
      </c>
      <c r="BE267" t="s">
        <v>2818</v>
      </c>
      <c r="BF267" t="str">
        <f>HYPERLINK("http://dx.doi.org/10.14483/22487085.17903","http://dx.doi.org/10.14483/22487085.17903")</f>
        <v>http://dx.doi.org/10.14483/22487085.17903</v>
      </c>
      <c r="BG267" t="s">
        <v>74</v>
      </c>
      <c r="BH267" t="s">
        <v>74</v>
      </c>
      <c r="BI267">
        <v>14</v>
      </c>
      <c r="BJ267" t="s">
        <v>2798</v>
      </c>
      <c r="BK267" t="s">
        <v>187</v>
      </c>
      <c r="BL267" t="s">
        <v>2798</v>
      </c>
      <c r="BM267" t="s">
        <v>2819</v>
      </c>
      <c r="BN267" t="s">
        <v>74</v>
      </c>
      <c r="BO267" t="s">
        <v>190</v>
      </c>
      <c r="BP267" t="s">
        <v>74</v>
      </c>
      <c r="BQ267" t="s">
        <v>74</v>
      </c>
      <c r="BR267" t="s">
        <v>105</v>
      </c>
      <c r="BS267" t="s">
        <v>2820</v>
      </c>
      <c r="BT267" t="str">
        <f>HYPERLINK("https%3A%2F%2Fwww.webofscience.com%2Fwos%2Fwoscc%2Ffull-record%2FWOS:000804320200008","View Full Record in Web of Science")</f>
        <v>View Full Record in Web of Science</v>
      </c>
    </row>
    <row r="268" spans="1:72" x14ac:dyDescent="0.2">
      <c r="A268" t="s">
        <v>72</v>
      </c>
      <c r="B268" t="s">
        <v>6331</v>
      </c>
      <c r="C268" t="s">
        <v>74</v>
      </c>
      <c r="D268" t="s">
        <v>74</v>
      </c>
      <c r="E268" t="s">
        <v>74</v>
      </c>
      <c r="F268" t="s">
        <v>6332</v>
      </c>
      <c r="G268" t="s">
        <v>74</v>
      </c>
      <c r="H268" t="s">
        <v>74</v>
      </c>
      <c r="I268" t="s">
        <v>6333</v>
      </c>
      <c r="J268" t="s">
        <v>6334</v>
      </c>
      <c r="K268" t="s">
        <v>74</v>
      </c>
      <c r="L268" t="s">
        <v>74</v>
      </c>
      <c r="M268" t="s">
        <v>78</v>
      </c>
      <c r="N268" t="s">
        <v>79</v>
      </c>
      <c r="O268" t="s">
        <v>74</v>
      </c>
      <c r="P268" t="s">
        <v>74</v>
      </c>
      <c r="Q268" t="s">
        <v>74</v>
      </c>
      <c r="R268" t="s">
        <v>74</v>
      </c>
      <c r="S268" t="s">
        <v>74</v>
      </c>
      <c r="T268" t="s">
        <v>6335</v>
      </c>
      <c r="U268" t="s">
        <v>6336</v>
      </c>
      <c r="V268" t="s">
        <v>6337</v>
      </c>
      <c r="W268" s="1" t="s">
        <v>6338</v>
      </c>
      <c r="X268" t="s">
        <v>6339</v>
      </c>
      <c r="Y268" t="s">
        <v>6340</v>
      </c>
      <c r="Z268" t="s">
        <v>6341</v>
      </c>
      <c r="AA268" t="s">
        <v>74</v>
      </c>
      <c r="AB268" t="s">
        <v>6342</v>
      </c>
      <c r="AC268" t="s">
        <v>6343</v>
      </c>
      <c r="AD268" t="s">
        <v>6344</v>
      </c>
      <c r="AE268" t="s">
        <v>6345</v>
      </c>
      <c r="AF268" t="s">
        <v>6346</v>
      </c>
      <c r="AG268">
        <v>80</v>
      </c>
      <c r="AH268">
        <v>1</v>
      </c>
      <c r="AI268">
        <v>1</v>
      </c>
      <c r="AJ268">
        <v>10</v>
      </c>
      <c r="AK268">
        <v>17</v>
      </c>
      <c r="AL268" t="s">
        <v>619</v>
      </c>
      <c r="AM268" t="s">
        <v>620</v>
      </c>
      <c r="AN268" t="s">
        <v>621</v>
      </c>
      <c r="AO268" t="s">
        <v>6347</v>
      </c>
      <c r="AP268" t="s">
        <v>6348</v>
      </c>
      <c r="AQ268" t="s">
        <v>74</v>
      </c>
      <c r="AR268" t="s">
        <v>6349</v>
      </c>
      <c r="AS268" t="s">
        <v>6350</v>
      </c>
      <c r="AT268" t="s">
        <v>476</v>
      </c>
      <c r="AU268">
        <v>2022</v>
      </c>
      <c r="AV268">
        <v>180</v>
      </c>
      <c r="AW268" t="s">
        <v>74</v>
      </c>
      <c r="AX268" t="s">
        <v>74</v>
      </c>
      <c r="AY268" t="s">
        <v>74</v>
      </c>
      <c r="AZ268" t="s">
        <v>74</v>
      </c>
      <c r="BA268" t="s">
        <v>74</v>
      </c>
      <c r="BB268" t="s">
        <v>74</v>
      </c>
      <c r="BC268" t="s">
        <v>74</v>
      </c>
      <c r="BD268">
        <v>105696</v>
      </c>
      <c r="BE268" t="s">
        <v>6351</v>
      </c>
      <c r="BF268" t="str">
        <f>HYPERLINK("http://dx.doi.org/10.1016/j.marenvres.2022.105696","http://dx.doi.org/10.1016/j.marenvres.2022.105696")</f>
        <v>http://dx.doi.org/10.1016/j.marenvres.2022.105696</v>
      </c>
      <c r="BG268" t="s">
        <v>74</v>
      </c>
      <c r="BH268" t="s">
        <v>1269</v>
      </c>
      <c r="BI268">
        <v>9</v>
      </c>
      <c r="BJ268" t="s">
        <v>6352</v>
      </c>
      <c r="BK268" t="s">
        <v>102</v>
      </c>
      <c r="BL268" t="s">
        <v>6353</v>
      </c>
      <c r="BM268" t="s">
        <v>6354</v>
      </c>
      <c r="BN268">
        <v>35932509</v>
      </c>
      <c r="BO268" t="s">
        <v>74</v>
      </c>
      <c r="BP268" t="s">
        <v>74</v>
      </c>
      <c r="BQ268" t="s">
        <v>74</v>
      </c>
      <c r="BR268" t="s">
        <v>105</v>
      </c>
      <c r="BS268" t="s">
        <v>6355</v>
      </c>
      <c r="BT268" t="str">
        <f>HYPERLINK("https%3A%2F%2Fwww.webofscience.com%2Fwos%2Fwoscc%2Ffull-record%2FWOS:000856571600001","View Full Record in Web of Science")</f>
        <v>View Full Record in Web of Science</v>
      </c>
    </row>
    <row r="269" spans="1:72" x14ac:dyDescent="0.2">
      <c r="A269" t="s">
        <v>72</v>
      </c>
      <c r="B269" t="s">
        <v>3377</v>
      </c>
      <c r="C269" t="s">
        <v>74</v>
      </c>
      <c r="D269" t="s">
        <v>74</v>
      </c>
      <c r="E269" t="s">
        <v>74</v>
      </c>
      <c r="F269" t="s">
        <v>3378</v>
      </c>
      <c r="G269" t="s">
        <v>74</v>
      </c>
      <c r="H269" t="s">
        <v>74</v>
      </c>
      <c r="I269" t="s">
        <v>3379</v>
      </c>
      <c r="J269" t="s">
        <v>583</v>
      </c>
      <c r="K269" t="s">
        <v>74</v>
      </c>
      <c r="L269" t="s">
        <v>74</v>
      </c>
      <c r="M269" t="s">
        <v>78</v>
      </c>
      <c r="N269" t="s">
        <v>79</v>
      </c>
      <c r="O269" t="s">
        <v>74</v>
      </c>
      <c r="P269" t="s">
        <v>74</v>
      </c>
      <c r="Q269" t="s">
        <v>74</v>
      </c>
      <c r="R269" t="s">
        <v>74</v>
      </c>
      <c r="S269" t="s">
        <v>74</v>
      </c>
      <c r="T269" t="s">
        <v>3380</v>
      </c>
      <c r="U269" t="s">
        <v>74</v>
      </c>
      <c r="V269" t="s">
        <v>3381</v>
      </c>
      <c r="W269" s="1" t="s">
        <v>3382</v>
      </c>
      <c r="X269" t="s">
        <v>867</v>
      </c>
      <c r="Y269" t="s">
        <v>3383</v>
      </c>
      <c r="Z269" t="s">
        <v>3384</v>
      </c>
      <c r="AA269" t="s">
        <v>3385</v>
      </c>
      <c r="AB269" t="s">
        <v>3386</v>
      </c>
      <c r="AC269" t="s">
        <v>74</v>
      </c>
      <c r="AD269" t="s">
        <v>74</v>
      </c>
      <c r="AE269" t="s">
        <v>74</v>
      </c>
      <c r="AF269" t="s">
        <v>3387</v>
      </c>
      <c r="AG269">
        <v>22</v>
      </c>
      <c r="AH269">
        <v>0</v>
      </c>
      <c r="AI269">
        <v>0</v>
      </c>
      <c r="AJ269">
        <v>3</v>
      </c>
      <c r="AK269">
        <v>3</v>
      </c>
      <c r="AL269" t="s">
        <v>594</v>
      </c>
      <c r="AM269" t="s">
        <v>316</v>
      </c>
      <c r="AN269" t="s">
        <v>595</v>
      </c>
      <c r="AO269" t="s">
        <v>596</v>
      </c>
      <c r="AP269" t="s">
        <v>597</v>
      </c>
      <c r="AQ269" t="s">
        <v>74</v>
      </c>
      <c r="AR269" t="s">
        <v>598</v>
      </c>
      <c r="AS269" t="s">
        <v>599</v>
      </c>
      <c r="AT269" t="s">
        <v>99</v>
      </c>
      <c r="AU269">
        <v>2023</v>
      </c>
      <c r="AV269">
        <v>43</v>
      </c>
      <c r="AW269">
        <v>1</v>
      </c>
      <c r="AX269" t="s">
        <v>74</v>
      </c>
      <c r="AY269" t="s">
        <v>74</v>
      </c>
      <c r="AZ269" t="s">
        <v>74</v>
      </c>
      <c r="BA269" t="s">
        <v>74</v>
      </c>
      <c r="BB269" t="s">
        <v>74</v>
      </c>
      <c r="BC269" t="s">
        <v>74</v>
      </c>
      <c r="BD269" t="s">
        <v>3388</v>
      </c>
      <c r="BE269" t="s">
        <v>3389</v>
      </c>
      <c r="BF269" t="str">
        <f>HYPERLINK("http://dx.doi.org/10.15446/ing.investig.90968","http://dx.doi.org/10.15446/ing.investig.90968")</f>
        <v>http://dx.doi.org/10.15446/ing.investig.90968</v>
      </c>
      <c r="BG269" t="s">
        <v>74</v>
      </c>
      <c r="BH269" t="s">
        <v>74</v>
      </c>
      <c r="BI269">
        <v>8</v>
      </c>
      <c r="BJ269" t="s">
        <v>323</v>
      </c>
      <c r="BK269" t="s">
        <v>102</v>
      </c>
      <c r="BL269" t="s">
        <v>324</v>
      </c>
      <c r="BM269" t="s">
        <v>602</v>
      </c>
      <c r="BN269" t="s">
        <v>74</v>
      </c>
      <c r="BO269" t="s">
        <v>419</v>
      </c>
      <c r="BP269" t="s">
        <v>74</v>
      </c>
      <c r="BQ269" t="s">
        <v>74</v>
      </c>
      <c r="BR269" t="s">
        <v>105</v>
      </c>
      <c r="BS269" t="s">
        <v>3390</v>
      </c>
      <c r="BT269" t="str">
        <f>HYPERLINK("https%3A%2F%2Fwww.webofscience.com%2Fwos%2Fwoscc%2Ffull-record%2FWOS:000935781700007","View Full Record in Web of Science")</f>
        <v>View Full Record in Web of Science</v>
      </c>
    </row>
    <row r="270" spans="1:72" x14ac:dyDescent="0.2">
      <c r="A270" t="s">
        <v>72</v>
      </c>
      <c r="B270" t="s">
        <v>5783</v>
      </c>
      <c r="C270" t="s">
        <v>74</v>
      </c>
      <c r="D270" t="s">
        <v>74</v>
      </c>
      <c r="E270" t="s">
        <v>74</v>
      </c>
      <c r="F270" t="s">
        <v>5784</v>
      </c>
      <c r="G270" t="s">
        <v>74</v>
      </c>
      <c r="H270" t="s">
        <v>74</v>
      </c>
      <c r="I270" t="s">
        <v>5785</v>
      </c>
      <c r="J270" t="s">
        <v>941</v>
      </c>
      <c r="K270" t="s">
        <v>74</v>
      </c>
      <c r="L270" t="s">
        <v>74</v>
      </c>
      <c r="M270" t="s">
        <v>78</v>
      </c>
      <c r="N270" t="s">
        <v>79</v>
      </c>
      <c r="O270" t="s">
        <v>74</v>
      </c>
      <c r="P270" t="s">
        <v>74</v>
      </c>
      <c r="Q270" t="s">
        <v>74</v>
      </c>
      <c r="R270" t="s">
        <v>74</v>
      </c>
      <c r="S270" t="s">
        <v>74</v>
      </c>
      <c r="T270" t="s">
        <v>5786</v>
      </c>
      <c r="U270" t="s">
        <v>74</v>
      </c>
      <c r="V270" t="s">
        <v>5787</v>
      </c>
      <c r="W270" s="1" t="s">
        <v>5788</v>
      </c>
      <c r="X270" t="s">
        <v>84</v>
      </c>
      <c r="Y270" t="s">
        <v>5789</v>
      </c>
      <c r="Z270" t="s">
        <v>5790</v>
      </c>
      <c r="AA270" t="s">
        <v>74</v>
      </c>
      <c r="AB270" t="s">
        <v>5791</v>
      </c>
      <c r="AC270" t="s">
        <v>74</v>
      </c>
      <c r="AD270" t="s">
        <v>74</v>
      </c>
      <c r="AE270" t="s">
        <v>74</v>
      </c>
      <c r="AF270" t="s">
        <v>5792</v>
      </c>
      <c r="AG270">
        <v>13</v>
      </c>
      <c r="AH270">
        <v>0</v>
      </c>
      <c r="AI270">
        <v>0</v>
      </c>
      <c r="AJ270">
        <v>1</v>
      </c>
      <c r="AK270">
        <v>1</v>
      </c>
      <c r="AL270" t="s">
        <v>954</v>
      </c>
      <c r="AM270" t="s">
        <v>316</v>
      </c>
      <c r="AN270" t="s">
        <v>955</v>
      </c>
      <c r="AO270" t="s">
        <v>956</v>
      </c>
      <c r="AP270" t="s">
        <v>957</v>
      </c>
      <c r="AQ270" t="s">
        <v>74</v>
      </c>
      <c r="AR270" t="s">
        <v>958</v>
      </c>
      <c r="AS270" t="s">
        <v>959</v>
      </c>
      <c r="AT270" t="s">
        <v>2068</v>
      </c>
      <c r="AU270">
        <v>2022</v>
      </c>
      <c r="AV270">
        <v>45</v>
      </c>
      <c r="AW270">
        <v>3</v>
      </c>
      <c r="AX270" t="s">
        <v>74</v>
      </c>
      <c r="AY270" t="s">
        <v>74</v>
      </c>
      <c r="AZ270" t="s">
        <v>74</v>
      </c>
      <c r="BA270" t="s">
        <v>74</v>
      </c>
      <c r="BB270">
        <v>402</v>
      </c>
      <c r="BC270">
        <v>413</v>
      </c>
      <c r="BD270" t="s">
        <v>74</v>
      </c>
      <c r="BE270" t="s">
        <v>5793</v>
      </c>
      <c r="BF270" t="str">
        <f>HYPERLINK("http://dx.doi.org/10.14483/23448350.19584","http://dx.doi.org/10.14483/23448350.19584")</f>
        <v>http://dx.doi.org/10.14483/23448350.19584</v>
      </c>
      <c r="BG270" t="s">
        <v>74</v>
      </c>
      <c r="BH270" t="s">
        <v>74</v>
      </c>
      <c r="BI270">
        <v>12</v>
      </c>
      <c r="BJ270" t="s">
        <v>962</v>
      </c>
      <c r="BK270" t="s">
        <v>187</v>
      </c>
      <c r="BL270" t="s">
        <v>963</v>
      </c>
      <c r="BM270" t="s">
        <v>5794</v>
      </c>
      <c r="BN270" t="s">
        <v>74</v>
      </c>
      <c r="BO270" t="s">
        <v>1111</v>
      </c>
      <c r="BP270" t="s">
        <v>74</v>
      </c>
      <c r="BQ270" t="s">
        <v>74</v>
      </c>
      <c r="BR270" t="s">
        <v>105</v>
      </c>
      <c r="BS270" t="s">
        <v>5795</v>
      </c>
      <c r="BT270" t="str">
        <f>HYPERLINK("https%3A%2F%2Fwww.webofscience.com%2Fwos%2Fwoscc%2Ffull-record%2FWOS:000865949500009","View Full Record in Web of Science")</f>
        <v>View Full Record in Web of Science</v>
      </c>
    </row>
    <row r="271" spans="1:72" x14ac:dyDescent="0.2">
      <c r="A271" t="s">
        <v>72</v>
      </c>
      <c r="B271" t="s">
        <v>1394</v>
      </c>
      <c r="C271" t="s">
        <v>74</v>
      </c>
      <c r="D271" t="s">
        <v>74</v>
      </c>
      <c r="E271" t="s">
        <v>74</v>
      </c>
      <c r="F271" t="s">
        <v>1395</v>
      </c>
      <c r="G271" t="s">
        <v>74</v>
      </c>
      <c r="H271" t="s">
        <v>74</v>
      </c>
      <c r="I271" t="s">
        <v>1396</v>
      </c>
      <c r="J271" t="s">
        <v>1397</v>
      </c>
      <c r="K271" t="s">
        <v>74</v>
      </c>
      <c r="L271" t="s">
        <v>74</v>
      </c>
      <c r="M271" t="s">
        <v>78</v>
      </c>
      <c r="N271" t="s">
        <v>79</v>
      </c>
      <c r="O271" t="s">
        <v>74</v>
      </c>
      <c r="P271" t="s">
        <v>74</v>
      </c>
      <c r="Q271" t="s">
        <v>74</v>
      </c>
      <c r="R271" t="s">
        <v>74</v>
      </c>
      <c r="S271" t="s">
        <v>74</v>
      </c>
      <c r="T271" t="s">
        <v>1398</v>
      </c>
      <c r="U271" t="s">
        <v>1399</v>
      </c>
      <c r="V271" t="s">
        <v>1400</v>
      </c>
      <c r="W271" s="1" t="s">
        <v>1401</v>
      </c>
      <c r="X271" t="s">
        <v>1402</v>
      </c>
      <c r="Y271" t="s">
        <v>1403</v>
      </c>
      <c r="Z271" t="s">
        <v>1404</v>
      </c>
      <c r="AA271" t="s">
        <v>1405</v>
      </c>
      <c r="AB271" t="s">
        <v>1406</v>
      </c>
      <c r="AC271" t="s">
        <v>1407</v>
      </c>
      <c r="AD271" t="s">
        <v>1408</v>
      </c>
      <c r="AE271" t="s">
        <v>1409</v>
      </c>
      <c r="AF271" t="s">
        <v>1410</v>
      </c>
      <c r="AG271">
        <v>70</v>
      </c>
      <c r="AH271">
        <v>1</v>
      </c>
      <c r="AI271">
        <v>1</v>
      </c>
      <c r="AJ271">
        <v>1</v>
      </c>
      <c r="AK271">
        <v>4</v>
      </c>
      <c r="AL271" t="s">
        <v>93</v>
      </c>
      <c r="AM271" t="s">
        <v>94</v>
      </c>
      <c r="AN271" t="s">
        <v>95</v>
      </c>
      <c r="AO271" t="s">
        <v>74</v>
      </c>
      <c r="AP271" t="s">
        <v>1411</v>
      </c>
      <c r="AQ271" t="s">
        <v>74</v>
      </c>
      <c r="AR271" t="s">
        <v>1397</v>
      </c>
      <c r="AS271" t="s">
        <v>1412</v>
      </c>
      <c r="AT271" t="s">
        <v>99</v>
      </c>
      <c r="AU271">
        <v>2022</v>
      </c>
      <c r="AV271">
        <v>15</v>
      </c>
      <c r="AW271">
        <v>2</v>
      </c>
      <c r="AX271" t="s">
        <v>74</v>
      </c>
      <c r="AY271" t="s">
        <v>74</v>
      </c>
      <c r="AZ271" t="s">
        <v>74</v>
      </c>
      <c r="BA271" t="s">
        <v>74</v>
      </c>
      <c r="BB271" t="s">
        <v>74</v>
      </c>
      <c r="BC271" t="s">
        <v>74</v>
      </c>
      <c r="BD271">
        <v>597</v>
      </c>
      <c r="BE271" t="s">
        <v>1413</v>
      </c>
      <c r="BF271" t="str">
        <f>HYPERLINK("http://dx.doi.org/10.3390/ma15020597","http://dx.doi.org/10.3390/ma15020597")</f>
        <v>http://dx.doi.org/10.3390/ma15020597</v>
      </c>
      <c r="BG271" t="s">
        <v>74</v>
      </c>
      <c r="BH271" t="s">
        <v>74</v>
      </c>
      <c r="BI271">
        <v>15</v>
      </c>
      <c r="BJ271" t="s">
        <v>1414</v>
      </c>
      <c r="BK271" t="s">
        <v>102</v>
      </c>
      <c r="BL271" t="s">
        <v>1415</v>
      </c>
      <c r="BM271" t="s">
        <v>1416</v>
      </c>
      <c r="BN271">
        <v>35057314</v>
      </c>
      <c r="BO271" t="s">
        <v>131</v>
      </c>
      <c r="BP271" t="s">
        <v>74</v>
      </c>
      <c r="BQ271" t="s">
        <v>74</v>
      </c>
      <c r="BR271" t="s">
        <v>105</v>
      </c>
      <c r="BS271" t="s">
        <v>1417</v>
      </c>
      <c r="BT271" t="str">
        <f>HYPERLINK("https%3A%2F%2Fwww.webofscience.com%2Fwos%2Fwoscc%2Ffull-record%2FWOS:000758779400001","View Full Record in Web of Science")</f>
        <v>View Full Record in Web of Science</v>
      </c>
    </row>
    <row r="272" spans="1:72" x14ac:dyDescent="0.2">
      <c r="A272" t="s">
        <v>72</v>
      </c>
      <c r="B272" t="s">
        <v>4256</v>
      </c>
      <c r="C272" t="s">
        <v>74</v>
      </c>
      <c r="D272" t="s">
        <v>74</v>
      </c>
      <c r="E272" t="s">
        <v>74</v>
      </c>
      <c r="F272" t="s">
        <v>4257</v>
      </c>
      <c r="G272" t="s">
        <v>74</v>
      </c>
      <c r="H272" t="s">
        <v>74</v>
      </c>
      <c r="I272" t="s">
        <v>4258</v>
      </c>
      <c r="J272" t="s">
        <v>4259</v>
      </c>
      <c r="K272" t="s">
        <v>74</v>
      </c>
      <c r="L272" t="s">
        <v>74</v>
      </c>
      <c r="M272" t="s">
        <v>78</v>
      </c>
      <c r="N272" t="s">
        <v>79</v>
      </c>
      <c r="O272" t="s">
        <v>74</v>
      </c>
      <c r="P272" t="s">
        <v>74</v>
      </c>
      <c r="Q272" t="s">
        <v>74</v>
      </c>
      <c r="R272" t="s">
        <v>74</v>
      </c>
      <c r="S272" t="s">
        <v>74</v>
      </c>
      <c r="T272" t="s">
        <v>4260</v>
      </c>
      <c r="U272" t="s">
        <v>74</v>
      </c>
      <c r="V272" t="s">
        <v>4261</v>
      </c>
      <c r="W272" s="1" t="s">
        <v>4262</v>
      </c>
      <c r="X272" t="s">
        <v>4263</v>
      </c>
      <c r="Y272" t="s">
        <v>4264</v>
      </c>
      <c r="Z272" t="s">
        <v>4265</v>
      </c>
      <c r="AA272" t="s">
        <v>4266</v>
      </c>
      <c r="AB272" t="s">
        <v>4267</v>
      </c>
      <c r="AC272" t="s">
        <v>74</v>
      </c>
      <c r="AD272" t="s">
        <v>74</v>
      </c>
      <c r="AE272" t="s">
        <v>74</v>
      </c>
      <c r="AF272" t="s">
        <v>4268</v>
      </c>
      <c r="AG272">
        <v>26</v>
      </c>
      <c r="AH272">
        <v>0</v>
      </c>
      <c r="AI272">
        <v>0</v>
      </c>
      <c r="AJ272">
        <v>1</v>
      </c>
      <c r="AK272">
        <v>1</v>
      </c>
      <c r="AL272" t="s">
        <v>93</v>
      </c>
      <c r="AM272" t="s">
        <v>94</v>
      </c>
      <c r="AN272" t="s">
        <v>95</v>
      </c>
      <c r="AO272" t="s">
        <v>74</v>
      </c>
      <c r="AP272" t="s">
        <v>4269</v>
      </c>
      <c r="AQ272" t="s">
        <v>74</v>
      </c>
      <c r="AR272" t="s">
        <v>4270</v>
      </c>
      <c r="AS272" t="s">
        <v>4271</v>
      </c>
      <c r="AT272" t="s">
        <v>1029</v>
      </c>
      <c r="AU272">
        <v>2023</v>
      </c>
      <c r="AV272">
        <v>12</v>
      </c>
      <c r="AW272">
        <v>4</v>
      </c>
      <c r="AX272" t="s">
        <v>74</v>
      </c>
      <c r="AY272" t="s">
        <v>74</v>
      </c>
      <c r="AZ272" t="s">
        <v>74</v>
      </c>
      <c r="BA272" t="s">
        <v>74</v>
      </c>
      <c r="BB272" t="s">
        <v>74</v>
      </c>
      <c r="BC272" t="s">
        <v>74</v>
      </c>
      <c r="BD272">
        <v>844</v>
      </c>
      <c r="BE272" t="s">
        <v>4272</v>
      </c>
      <c r="BF272" t="str">
        <f>HYPERLINK("http://dx.doi.org/10.3390/electronics12040844","http://dx.doi.org/10.3390/electronics12040844")</f>
        <v>http://dx.doi.org/10.3390/electronics12040844</v>
      </c>
      <c r="BG272" t="s">
        <v>74</v>
      </c>
      <c r="BH272" t="s">
        <v>74</v>
      </c>
      <c r="BI272">
        <v>16</v>
      </c>
      <c r="BJ272" t="s">
        <v>4273</v>
      </c>
      <c r="BK272" t="s">
        <v>102</v>
      </c>
      <c r="BL272" t="s">
        <v>4274</v>
      </c>
      <c r="BM272" t="s">
        <v>4275</v>
      </c>
      <c r="BN272" t="s">
        <v>74</v>
      </c>
      <c r="BO272" t="s">
        <v>131</v>
      </c>
      <c r="BP272" t="s">
        <v>74</v>
      </c>
      <c r="BQ272" t="s">
        <v>74</v>
      </c>
      <c r="BR272" t="s">
        <v>105</v>
      </c>
      <c r="BS272" t="s">
        <v>4276</v>
      </c>
      <c r="BT272" t="str">
        <f>HYPERLINK("https%3A%2F%2Fwww.webofscience.com%2Fwos%2Fwoscc%2Ffull-record%2FWOS:000938581200001","View Full Record in Web of Science")</f>
        <v>View Full Record in Web of Science</v>
      </c>
    </row>
    <row r="273" spans="1:72" x14ac:dyDescent="0.2">
      <c r="A273" t="s">
        <v>72</v>
      </c>
      <c r="B273" t="s">
        <v>3923</v>
      </c>
      <c r="C273" t="s">
        <v>74</v>
      </c>
      <c r="D273" t="s">
        <v>74</v>
      </c>
      <c r="E273" t="s">
        <v>74</v>
      </c>
      <c r="F273" t="s">
        <v>3924</v>
      </c>
      <c r="G273" t="s">
        <v>74</v>
      </c>
      <c r="H273" t="s">
        <v>74</v>
      </c>
      <c r="I273" t="s">
        <v>3925</v>
      </c>
      <c r="J273" t="s">
        <v>3926</v>
      </c>
      <c r="K273" t="s">
        <v>74</v>
      </c>
      <c r="L273" t="s">
        <v>74</v>
      </c>
      <c r="M273" t="s">
        <v>78</v>
      </c>
      <c r="N273" t="s">
        <v>79</v>
      </c>
      <c r="O273" t="s">
        <v>74</v>
      </c>
      <c r="P273" t="s">
        <v>74</v>
      </c>
      <c r="Q273" t="s">
        <v>74</v>
      </c>
      <c r="R273" t="s">
        <v>74</v>
      </c>
      <c r="S273" t="s">
        <v>74</v>
      </c>
      <c r="T273" t="s">
        <v>3927</v>
      </c>
      <c r="U273" t="s">
        <v>3928</v>
      </c>
      <c r="V273" t="s">
        <v>3929</v>
      </c>
      <c r="W273" s="1" t="s">
        <v>3930</v>
      </c>
      <c r="X273" t="s">
        <v>84</v>
      </c>
      <c r="Y273" t="s">
        <v>3931</v>
      </c>
      <c r="Z273" t="s">
        <v>3932</v>
      </c>
      <c r="AA273" t="s">
        <v>74</v>
      </c>
      <c r="AB273" t="s">
        <v>74</v>
      </c>
      <c r="AC273" t="s">
        <v>74</v>
      </c>
      <c r="AD273" t="s">
        <v>74</v>
      </c>
      <c r="AE273" t="s">
        <v>74</v>
      </c>
      <c r="AF273" t="s">
        <v>3933</v>
      </c>
      <c r="AG273">
        <v>40</v>
      </c>
      <c r="AH273">
        <v>2</v>
      </c>
      <c r="AI273">
        <v>2</v>
      </c>
      <c r="AJ273">
        <v>1</v>
      </c>
      <c r="AK273">
        <v>4</v>
      </c>
      <c r="AL273" t="s">
        <v>263</v>
      </c>
      <c r="AM273" t="s">
        <v>264</v>
      </c>
      <c r="AN273" t="s">
        <v>265</v>
      </c>
      <c r="AO273" t="s">
        <v>3934</v>
      </c>
      <c r="AP273" t="s">
        <v>3935</v>
      </c>
      <c r="AQ273" t="s">
        <v>74</v>
      </c>
      <c r="AR273" t="s">
        <v>3936</v>
      </c>
      <c r="AS273" t="s">
        <v>3937</v>
      </c>
      <c r="AT273" t="s">
        <v>126</v>
      </c>
      <c r="AU273">
        <v>2022</v>
      </c>
      <c r="AV273">
        <v>280</v>
      </c>
      <c r="AW273" t="s">
        <v>74</v>
      </c>
      <c r="AX273" t="s">
        <v>74</v>
      </c>
      <c r="AY273" t="s">
        <v>74</v>
      </c>
      <c r="AZ273" t="s">
        <v>74</v>
      </c>
      <c r="BA273" t="s">
        <v>74</v>
      </c>
      <c r="BB273" t="s">
        <v>74</v>
      </c>
      <c r="BC273" t="s">
        <v>74</v>
      </c>
      <c r="BD273">
        <v>115719</v>
      </c>
      <c r="BE273" t="s">
        <v>3938</v>
      </c>
      <c r="BF273" t="str">
        <f>HYPERLINK("http://dx.doi.org/10.1016/j.mseb.2022.115719","http://dx.doi.org/10.1016/j.mseb.2022.115719")</f>
        <v>http://dx.doi.org/10.1016/j.mseb.2022.115719</v>
      </c>
      <c r="BG273" t="s">
        <v>74</v>
      </c>
      <c r="BH273" t="s">
        <v>271</v>
      </c>
      <c r="BI273">
        <v>8</v>
      </c>
      <c r="BJ273" t="s">
        <v>3939</v>
      </c>
      <c r="BK273" t="s">
        <v>102</v>
      </c>
      <c r="BL273" t="s">
        <v>3656</v>
      </c>
      <c r="BM273" t="s">
        <v>3940</v>
      </c>
      <c r="BN273" t="s">
        <v>74</v>
      </c>
      <c r="BO273" t="s">
        <v>74</v>
      </c>
      <c r="BP273" t="s">
        <v>74</v>
      </c>
      <c r="BQ273" t="s">
        <v>74</v>
      </c>
      <c r="BR273" t="s">
        <v>105</v>
      </c>
      <c r="BS273" t="s">
        <v>3941</v>
      </c>
      <c r="BT273" t="str">
        <f>HYPERLINK("https%3A%2F%2Fwww.webofscience.com%2Fwos%2Fwoscc%2Ffull-record%2FWOS:000807381000001","View Full Record in Web of Science")</f>
        <v>View Full Record in Web of Science</v>
      </c>
    </row>
    <row r="274" spans="1:72" x14ac:dyDescent="0.2">
      <c r="A274" t="s">
        <v>72</v>
      </c>
      <c r="B274" t="s">
        <v>3974</v>
      </c>
      <c r="C274" t="s">
        <v>74</v>
      </c>
      <c r="D274" t="s">
        <v>74</v>
      </c>
      <c r="E274" t="s">
        <v>74</v>
      </c>
      <c r="F274" t="s">
        <v>3975</v>
      </c>
      <c r="G274" t="s">
        <v>74</v>
      </c>
      <c r="H274" t="s">
        <v>74</v>
      </c>
      <c r="I274" t="s">
        <v>3976</v>
      </c>
      <c r="J274" t="s">
        <v>3471</v>
      </c>
      <c r="K274" t="s">
        <v>74</v>
      </c>
      <c r="L274" t="s">
        <v>74</v>
      </c>
      <c r="M274" t="s">
        <v>78</v>
      </c>
      <c r="N274" t="s">
        <v>79</v>
      </c>
      <c r="O274" t="s">
        <v>74</v>
      </c>
      <c r="P274" t="s">
        <v>74</v>
      </c>
      <c r="Q274" t="s">
        <v>74</v>
      </c>
      <c r="R274" t="s">
        <v>74</v>
      </c>
      <c r="S274" t="s">
        <v>74</v>
      </c>
      <c r="T274" t="s">
        <v>3977</v>
      </c>
      <c r="U274" t="s">
        <v>74</v>
      </c>
      <c r="V274" t="s">
        <v>3978</v>
      </c>
      <c r="W274" s="1" t="s">
        <v>3979</v>
      </c>
      <c r="X274" t="s">
        <v>3980</v>
      </c>
      <c r="Y274" t="s">
        <v>3981</v>
      </c>
      <c r="Z274" t="s">
        <v>3982</v>
      </c>
      <c r="AA274" t="s">
        <v>74</v>
      </c>
      <c r="AB274" t="s">
        <v>3983</v>
      </c>
      <c r="AC274" t="s">
        <v>74</v>
      </c>
      <c r="AD274" t="s">
        <v>74</v>
      </c>
      <c r="AE274" t="s">
        <v>74</v>
      </c>
      <c r="AF274" t="s">
        <v>3984</v>
      </c>
      <c r="AG274">
        <v>18</v>
      </c>
      <c r="AH274">
        <v>0</v>
      </c>
      <c r="AI274">
        <v>0</v>
      </c>
      <c r="AJ274">
        <v>1</v>
      </c>
      <c r="AK274">
        <v>1</v>
      </c>
      <c r="AL274" t="s">
        <v>93</v>
      </c>
      <c r="AM274" t="s">
        <v>94</v>
      </c>
      <c r="AN274" t="s">
        <v>95</v>
      </c>
      <c r="AO274" t="s">
        <v>74</v>
      </c>
      <c r="AP274" t="s">
        <v>3483</v>
      </c>
      <c r="AQ274" t="s">
        <v>74</v>
      </c>
      <c r="AR274" t="s">
        <v>3471</v>
      </c>
      <c r="AS274" t="s">
        <v>3484</v>
      </c>
      <c r="AT274" t="s">
        <v>1683</v>
      </c>
      <c r="AU274">
        <v>2022</v>
      </c>
      <c r="AV274">
        <v>10</v>
      </c>
      <c r="AW274">
        <v>12</v>
      </c>
      <c r="AX274" t="s">
        <v>74</v>
      </c>
      <c r="AY274" t="s">
        <v>74</v>
      </c>
      <c r="AZ274" t="s">
        <v>74</v>
      </c>
      <c r="BA274" t="s">
        <v>74</v>
      </c>
      <c r="BB274" t="s">
        <v>74</v>
      </c>
      <c r="BC274" t="s">
        <v>74</v>
      </c>
      <c r="BD274">
        <v>219</v>
      </c>
      <c r="BE274" t="s">
        <v>3985</v>
      </c>
      <c r="BF274" t="str">
        <f>HYPERLINK("http://dx.doi.org/10.3390/computation10120219","http://dx.doi.org/10.3390/computation10120219")</f>
        <v>http://dx.doi.org/10.3390/computation10120219</v>
      </c>
      <c r="BG274" t="s">
        <v>74</v>
      </c>
      <c r="BH274" t="s">
        <v>74</v>
      </c>
      <c r="BI274">
        <v>12</v>
      </c>
      <c r="BJ274" t="s">
        <v>3486</v>
      </c>
      <c r="BK274" t="s">
        <v>187</v>
      </c>
      <c r="BL274" t="s">
        <v>576</v>
      </c>
      <c r="BM274" t="s">
        <v>3986</v>
      </c>
      <c r="BN274" t="s">
        <v>74</v>
      </c>
      <c r="BO274" t="s">
        <v>190</v>
      </c>
      <c r="BP274" t="s">
        <v>74</v>
      </c>
      <c r="BQ274" t="s">
        <v>74</v>
      </c>
      <c r="BR274" t="s">
        <v>105</v>
      </c>
      <c r="BS274" t="s">
        <v>3987</v>
      </c>
      <c r="BT274" t="str">
        <f>HYPERLINK("https%3A%2F%2Fwww.webofscience.com%2Fwos%2Fwoscc%2Ffull-record%2FWOS:000900671200001","View Full Record in Web of Science")</f>
        <v>View Full Record in Web of Science</v>
      </c>
    </row>
    <row r="275" spans="1:72" x14ac:dyDescent="0.2">
      <c r="A275" t="s">
        <v>72</v>
      </c>
      <c r="B275" t="s">
        <v>2872</v>
      </c>
      <c r="C275" t="s">
        <v>74</v>
      </c>
      <c r="D275" t="s">
        <v>74</v>
      </c>
      <c r="E275" t="s">
        <v>74</v>
      </c>
      <c r="F275" t="s">
        <v>2873</v>
      </c>
      <c r="G275" t="s">
        <v>74</v>
      </c>
      <c r="H275" t="s">
        <v>74</v>
      </c>
      <c r="I275" t="s">
        <v>2874</v>
      </c>
      <c r="J275" t="s">
        <v>2875</v>
      </c>
      <c r="K275" t="s">
        <v>74</v>
      </c>
      <c r="L275" t="s">
        <v>74</v>
      </c>
      <c r="M275" t="s">
        <v>78</v>
      </c>
      <c r="N275" t="s">
        <v>79</v>
      </c>
      <c r="O275" t="s">
        <v>74</v>
      </c>
      <c r="P275" t="s">
        <v>74</v>
      </c>
      <c r="Q275" t="s">
        <v>74</v>
      </c>
      <c r="R275" t="s">
        <v>74</v>
      </c>
      <c r="S275" t="s">
        <v>74</v>
      </c>
      <c r="T275" t="s">
        <v>2876</v>
      </c>
      <c r="U275" t="s">
        <v>74</v>
      </c>
      <c r="V275" t="s">
        <v>2877</v>
      </c>
      <c r="W275" s="1" t="s">
        <v>2878</v>
      </c>
      <c r="X275" t="s">
        <v>84</v>
      </c>
      <c r="Y275" t="s">
        <v>2879</v>
      </c>
      <c r="Z275" t="s">
        <v>2880</v>
      </c>
      <c r="AA275" t="s">
        <v>2881</v>
      </c>
      <c r="AB275" t="s">
        <v>2882</v>
      </c>
      <c r="AC275" t="s">
        <v>2883</v>
      </c>
      <c r="AD275" t="s">
        <v>2884</v>
      </c>
      <c r="AE275" t="s">
        <v>2885</v>
      </c>
      <c r="AF275" t="s">
        <v>2886</v>
      </c>
      <c r="AG275">
        <v>18</v>
      </c>
      <c r="AH275">
        <v>1</v>
      </c>
      <c r="AI275">
        <v>1</v>
      </c>
      <c r="AJ275">
        <v>0</v>
      </c>
      <c r="AK275">
        <v>0</v>
      </c>
      <c r="AL275" t="s">
        <v>93</v>
      </c>
      <c r="AM275" t="s">
        <v>94</v>
      </c>
      <c r="AN275" t="s">
        <v>95</v>
      </c>
      <c r="AO275" t="s">
        <v>74</v>
      </c>
      <c r="AP275" t="s">
        <v>2887</v>
      </c>
      <c r="AQ275" t="s">
        <v>74</v>
      </c>
      <c r="AR275" t="s">
        <v>2888</v>
      </c>
      <c r="AS275" t="s">
        <v>2889</v>
      </c>
      <c r="AT275" t="s">
        <v>476</v>
      </c>
      <c r="AU275">
        <v>2022</v>
      </c>
      <c r="AV275">
        <v>7</v>
      </c>
      <c r="AW275">
        <v>9</v>
      </c>
      <c r="AX275" t="s">
        <v>74</v>
      </c>
      <c r="AY275" t="s">
        <v>74</v>
      </c>
      <c r="AZ275" t="s">
        <v>74</v>
      </c>
      <c r="BA275" t="s">
        <v>74</v>
      </c>
      <c r="BB275" t="s">
        <v>74</v>
      </c>
      <c r="BC275" t="s">
        <v>74</v>
      </c>
      <c r="BD275">
        <v>240</v>
      </c>
      <c r="BE275" t="s">
        <v>2890</v>
      </c>
      <c r="BF275" t="str">
        <f>HYPERLINK("http://dx.doi.org/10.3390/tropicalmed7090240","http://dx.doi.org/10.3390/tropicalmed7090240")</f>
        <v>http://dx.doi.org/10.3390/tropicalmed7090240</v>
      </c>
      <c r="BG275" t="s">
        <v>74</v>
      </c>
      <c r="BH275" t="s">
        <v>74</v>
      </c>
      <c r="BI275">
        <v>11</v>
      </c>
      <c r="BJ275" t="s">
        <v>2891</v>
      </c>
      <c r="BK275" t="s">
        <v>102</v>
      </c>
      <c r="BL275" t="s">
        <v>2891</v>
      </c>
      <c r="BM275" t="s">
        <v>2892</v>
      </c>
      <c r="BN275">
        <v>36136651</v>
      </c>
      <c r="BO275" t="s">
        <v>2893</v>
      </c>
      <c r="BP275" t="s">
        <v>74</v>
      </c>
      <c r="BQ275" t="s">
        <v>74</v>
      </c>
      <c r="BR275" t="s">
        <v>105</v>
      </c>
      <c r="BS275" t="s">
        <v>2894</v>
      </c>
      <c r="BT275" t="str">
        <f>HYPERLINK("https%3A%2F%2Fwww.webofscience.com%2Fwos%2Fwoscc%2Ffull-record%2FWOS:000858863600001","View Full Record in Web of Science")</f>
        <v>View Full Record in Web of Science</v>
      </c>
    </row>
    <row r="276" spans="1:72" x14ac:dyDescent="0.2">
      <c r="A276" t="s">
        <v>72</v>
      </c>
      <c r="B276" t="s">
        <v>1418</v>
      </c>
      <c r="C276" t="s">
        <v>74</v>
      </c>
      <c r="D276" t="s">
        <v>74</v>
      </c>
      <c r="E276" t="s">
        <v>74</v>
      </c>
      <c r="F276" t="s">
        <v>1419</v>
      </c>
      <c r="G276" t="s">
        <v>74</v>
      </c>
      <c r="H276" t="s">
        <v>74</v>
      </c>
      <c r="I276" t="s">
        <v>1420</v>
      </c>
      <c r="J276" t="s">
        <v>742</v>
      </c>
      <c r="K276" t="s">
        <v>74</v>
      </c>
      <c r="L276" t="s">
        <v>74</v>
      </c>
      <c r="M276" t="s">
        <v>78</v>
      </c>
      <c r="N276" t="s">
        <v>79</v>
      </c>
      <c r="O276" t="s">
        <v>74</v>
      </c>
      <c r="P276" t="s">
        <v>74</v>
      </c>
      <c r="Q276" t="s">
        <v>74</v>
      </c>
      <c r="R276" t="s">
        <v>74</v>
      </c>
      <c r="S276" t="s">
        <v>74</v>
      </c>
      <c r="T276" t="s">
        <v>1421</v>
      </c>
      <c r="U276" t="s">
        <v>1422</v>
      </c>
      <c r="V276" t="s">
        <v>1423</v>
      </c>
      <c r="W276" s="1" t="s">
        <v>1424</v>
      </c>
      <c r="X276" t="s">
        <v>1425</v>
      </c>
      <c r="Y276" t="s">
        <v>1426</v>
      </c>
      <c r="Z276" t="s">
        <v>748</v>
      </c>
      <c r="AA276" t="s">
        <v>1427</v>
      </c>
      <c r="AB276" t="s">
        <v>1428</v>
      </c>
      <c r="AC276" t="s">
        <v>1429</v>
      </c>
      <c r="AD276" t="s">
        <v>1430</v>
      </c>
      <c r="AE276" t="s">
        <v>1431</v>
      </c>
      <c r="AF276" t="s">
        <v>1432</v>
      </c>
      <c r="AG276">
        <v>60</v>
      </c>
      <c r="AH276">
        <v>4</v>
      </c>
      <c r="AI276">
        <v>4</v>
      </c>
      <c r="AJ276">
        <v>3</v>
      </c>
      <c r="AK276">
        <v>3</v>
      </c>
      <c r="AL276" t="s">
        <v>263</v>
      </c>
      <c r="AM276" t="s">
        <v>264</v>
      </c>
      <c r="AN276" t="s">
        <v>265</v>
      </c>
      <c r="AO276" t="s">
        <v>755</v>
      </c>
      <c r="AP276" t="s">
        <v>756</v>
      </c>
      <c r="AQ276" t="s">
        <v>74</v>
      </c>
      <c r="AR276" t="s">
        <v>757</v>
      </c>
      <c r="AS276" t="s">
        <v>758</v>
      </c>
      <c r="AT276" t="s">
        <v>1433</v>
      </c>
      <c r="AU276">
        <v>2023</v>
      </c>
      <c r="AV276">
        <v>1274</v>
      </c>
      <c r="AW276" t="s">
        <v>74</v>
      </c>
      <c r="AX276">
        <v>1</v>
      </c>
      <c r="AY276" t="s">
        <v>74</v>
      </c>
      <c r="AZ276" t="s">
        <v>74</v>
      </c>
      <c r="BA276" t="s">
        <v>74</v>
      </c>
      <c r="BB276" t="s">
        <v>74</v>
      </c>
      <c r="BC276" t="s">
        <v>74</v>
      </c>
      <c r="BD276">
        <v>134414</v>
      </c>
      <c r="BE276" t="s">
        <v>1434</v>
      </c>
      <c r="BF276" t="str">
        <f>HYPERLINK("http://dx.doi.org/10.1016/j.molstruc.2022.134414","http://dx.doi.org/10.1016/j.molstruc.2022.134414")</f>
        <v>http://dx.doi.org/10.1016/j.molstruc.2022.134414</v>
      </c>
      <c r="BG276" t="s">
        <v>74</v>
      </c>
      <c r="BH276" t="s">
        <v>74</v>
      </c>
      <c r="BI276">
        <v>11</v>
      </c>
      <c r="BJ276" t="s">
        <v>761</v>
      </c>
      <c r="BK276" t="s">
        <v>102</v>
      </c>
      <c r="BL276" t="s">
        <v>216</v>
      </c>
      <c r="BM276" t="s">
        <v>1435</v>
      </c>
      <c r="BN276" t="s">
        <v>74</v>
      </c>
      <c r="BO276" t="s">
        <v>74</v>
      </c>
      <c r="BP276" t="s">
        <v>74</v>
      </c>
      <c r="BQ276" t="s">
        <v>74</v>
      </c>
      <c r="BR276" t="s">
        <v>105</v>
      </c>
      <c r="BS276" t="s">
        <v>1436</v>
      </c>
      <c r="BT276" t="str">
        <f>HYPERLINK("https%3A%2F%2Fwww.webofscience.com%2Fwos%2Fwoscc%2Ffull-record%2FWOS:000904993000010","View Full Record in Web of Science")</f>
        <v>View Full Record in Web of Science</v>
      </c>
    </row>
    <row r="277" spans="1:72" x14ac:dyDescent="0.2">
      <c r="A277" t="s">
        <v>72</v>
      </c>
      <c r="B277" t="s">
        <v>5384</v>
      </c>
      <c r="C277" t="s">
        <v>74</v>
      </c>
      <c r="D277" t="s">
        <v>74</v>
      </c>
      <c r="E277" t="s">
        <v>74</v>
      </c>
      <c r="F277" t="s">
        <v>5385</v>
      </c>
      <c r="G277" t="s">
        <v>74</v>
      </c>
      <c r="H277" t="s">
        <v>74</v>
      </c>
      <c r="I277" t="s">
        <v>5386</v>
      </c>
      <c r="J277" t="s">
        <v>1321</v>
      </c>
      <c r="K277" t="s">
        <v>74</v>
      </c>
      <c r="L277" t="s">
        <v>74</v>
      </c>
      <c r="M277" t="s">
        <v>78</v>
      </c>
      <c r="N277" t="s">
        <v>137</v>
      </c>
      <c r="O277" t="s">
        <v>74</v>
      </c>
      <c r="P277" t="s">
        <v>74</v>
      </c>
      <c r="Q277" t="s">
        <v>74</v>
      </c>
      <c r="R277" t="s">
        <v>74</v>
      </c>
      <c r="S277" t="s">
        <v>74</v>
      </c>
      <c r="T277" t="s">
        <v>5387</v>
      </c>
      <c r="U277" t="s">
        <v>5388</v>
      </c>
      <c r="V277" t="s">
        <v>5389</v>
      </c>
      <c r="W277" s="1" t="s">
        <v>5390</v>
      </c>
      <c r="X277" t="s">
        <v>5391</v>
      </c>
      <c r="Y277" t="s">
        <v>5392</v>
      </c>
      <c r="Z277" t="s">
        <v>5393</v>
      </c>
      <c r="AA277" t="s">
        <v>74</v>
      </c>
      <c r="AB277" t="s">
        <v>5394</v>
      </c>
      <c r="AC277" t="s">
        <v>5395</v>
      </c>
      <c r="AD277" t="s">
        <v>5396</v>
      </c>
      <c r="AE277" t="s">
        <v>5397</v>
      </c>
      <c r="AF277" t="s">
        <v>5398</v>
      </c>
      <c r="AG277">
        <v>97</v>
      </c>
      <c r="AH277">
        <v>0</v>
      </c>
      <c r="AI277">
        <v>0</v>
      </c>
      <c r="AJ277">
        <v>3</v>
      </c>
      <c r="AK277">
        <v>3</v>
      </c>
      <c r="AL277" t="s">
        <v>1071</v>
      </c>
      <c r="AM277" t="s">
        <v>1072</v>
      </c>
      <c r="AN277" t="s">
        <v>1073</v>
      </c>
      <c r="AO277" t="s">
        <v>1333</v>
      </c>
      <c r="AP277" t="s">
        <v>1334</v>
      </c>
      <c r="AQ277" t="s">
        <v>74</v>
      </c>
      <c r="AR277" t="s">
        <v>1335</v>
      </c>
      <c r="AS277" t="s">
        <v>1336</v>
      </c>
      <c r="AT277" t="s">
        <v>5399</v>
      </c>
      <c r="AU277">
        <v>2023</v>
      </c>
      <c r="AV277" t="s">
        <v>74</v>
      </c>
      <c r="AW277" t="s">
        <v>74</v>
      </c>
      <c r="AX277" t="s">
        <v>74</v>
      </c>
      <c r="AY277" t="s">
        <v>74</v>
      </c>
      <c r="AZ277" t="s">
        <v>74</v>
      </c>
      <c r="BA277" t="s">
        <v>74</v>
      </c>
      <c r="BB277" t="s">
        <v>74</v>
      </c>
      <c r="BC277" t="s">
        <v>74</v>
      </c>
      <c r="BD277" t="s">
        <v>74</v>
      </c>
      <c r="BE277" t="s">
        <v>5400</v>
      </c>
      <c r="BF277" t="str">
        <f>HYPERLINK("http://dx.doi.org/10.1007/s42690-023-00987-8","http://dx.doi.org/10.1007/s42690-023-00987-8")</f>
        <v>http://dx.doi.org/10.1007/s42690-023-00987-8</v>
      </c>
      <c r="BG277" t="s">
        <v>74</v>
      </c>
      <c r="BH277" t="s">
        <v>446</v>
      </c>
      <c r="BI277">
        <v>11</v>
      </c>
      <c r="BJ277" t="s">
        <v>1338</v>
      </c>
      <c r="BK277" t="s">
        <v>102</v>
      </c>
      <c r="BL277" t="s">
        <v>1338</v>
      </c>
      <c r="BM277" t="s">
        <v>5401</v>
      </c>
      <c r="BN277" t="s">
        <v>74</v>
      </c>
      <c r="BO277" t="s">
        <v>1191</v>
      </c>
      <c r="BP277" t="s">
        <v>74</v>
      </c>
      <c r="BQ277" t="s">
        <v>74</v>
      </c>
      <c r="BR277" t="s">
        <v>105</v>
      </c>
      <c r="BS277" t="s">
        <v>5402</v>
      </c>
      <c r="BT277" t="str">
        <f>HYPERLINK("https%3A%2F%2Fwww.webofscience.com%2Fwos%2Fwoscc%2Ffull-record%2FWOS:000961180800002","View Full Record in Web of Science")</f>
        <v>View Full Record in Web of Science</v>
      </c>
    </row>
    <row r="278" spans="1:72" x14ac:dyDescent="0.2">
      <c r="A278" t="s">
        <v>72</v>
      </c>
      <c r="B278" t="s">
        <v>2266</v>
      </c>
      <c r="C278" t="s">
        <v>74</v>
      </c>
      <c r="D278" t="s">
        <v>74</v>
      </c>
      <c r="E278" t="s">
        <v>74</v>
      </c>
      <c r="F278" t="s">
        <v>2267</v>
      </c>
      <c r="G278" t="s">
        <v>74</v>
      </c>
      <c r="H278" t="s">
        <v>74</v>
      </c>
      <c r="I278" t="s">
        <v>2268</v>
      </c>
      <c r="J278" t="s">
        <v>2228</v>
      </c>
      <c r="K278" t="s">
        <v>74</v>
      </c>
      <c r="L278" t="s">
        <v>74</v>
      </c>
      <c r="M278" t="s">
        <v>1517</v>
      </c>
      <c r="N278" t="s">
        <v>79</v>
      </c>
      <c r="O278" t="s">
        <v>74</v>
      </c>
      <c r="P278" t="s">
        <v>74</v>
      </c>
      <c r="Q278" t="s">
        <v>74</v>
      </c>
      <c r="R278" t="s">
        <v>74</v>
      </c>
      <c r="S278" t="s">
        <v>74</v>
      </c>
      <c r="T278" t="s">
        <v>2269</v>
      </c>
      <c r="U278" t="s">
        <v>2270</v>
      </c>
      <c r="V278" t="s">
        <v>2271</v>
      </c>
      <c r="W278" s="1" t="s">
        <v>2272</v>
      </c>
      <c r="X278" t="s">
        <v>84</v>
      </c>
      <c r="Y278" t="s">
        <v>2273</v>
      </c>
      <c r="Z278" t="s">
        <v>2274</v>
      </c>
      <c r="AA278" t="s">
        <v>74</v>
      </c>
      <c r="AB278" t="s">
        <v>74</v>
      </c>
      <c r="AC278" t="s">
        <v>2275</v>
      </c>
      <c r="AD278" t="s">
        <v>2275</v>
      </c>
      <c r="AE278" t="s">
        <v>2276</v>
      </c>
      <c r="AF278" t="s">
        <v>2277</v>
      </c>
      <c r="AG278">
        <v>86</v>
      </c>
      <c r="AH278">
        <v>0</v>
      </c>
      <c r="AI278">
        <v>0</v>
      </c>
      <c r="AJ278">
        <v>1</v>
      </c>
      <c r="AK278">
        <v>4</v>
      </c>
      <c r="AL278" t="s">
        <v>1930</v>
      </c>
      <c r="AM278" t="s">
        <v>1931</v>
      </c>
      <c r="AN278" t="s">
        <v>1932</v>
      </c>
      <c r="AO278" t="s">
        <v>2236</v>
      </c>
      <c r="AP278" t="s">
        <v>74</v>
      </c>
      <c r="AQ278" t="s">
        <v>74</v>
      </c>
      <c r="AR278" t="s">
        <v>2237</v>
      </c>
      <c r="AS278" t="s">
        <v>2238</v>
      </c>
      <c r="AT278" t="s">
        <v>1527</v>
      </c>
      <c r="AU278">
        <v>2022</v>
      </c>
      <c r="AV278">
        <v>41</v>
      </c>
      <c r="AW278">
        <v>73</v>
      </c>
      <c r="AX278" t="s">
        <v>74</v>
      </c>
      <c r="AY278" t="s">
        <v>74</v>
      </c>
      <c r="AZ278" t="s">
        <v>74</v>
      </c>
      <c r="BA278" t="s">
        <v>74</v>
      </c>
      <c r="BB278">
        <v>83</v>
      </c>
      <c r="BC278">
        <v>111</v>
      </c>
      <c r="BD278" t="s">
        <v>74</v>
      </c>
      <c r="BE278" t="s">
        <v>2278</v>
      </c>
      <c r="BF278" t="str">
        <f>HYPERLINK("http://dx.doi.org/10.19053/01203053.v41.n73.2022.13524","http://dx.doi.org/10.19053/01203053.v41.n73.2022.13524")</f>
        <v>http://dx.doi.org/10.19053/01203053.v41.n73.2022.13524</v>
      </c>
      <c r="BG278" t="s">
        <v>74</v>
      </c>
      <c r="BH278" t="s">
        <v>74</v>
      </c>
      <c r="BI278">
        <v>29</v>
      </c>
      <c r="BJ278" t="s">
        <v>2240</v>
      </c>
      <c r="BK278" t="s">
        <v>187</v>
      </c>
      <c r="BL278" t="s">
        <v>935</v>
      </c>
      <c r="BM278" t="s">
        <v>2279</v>
      </c>
      <c r="BN278" t="s">
        <v>74</v>
      </c>
      <c r="BO278" t="s">
        <v>419</v>
      </c>
      <c r="BP278" t="s">
        <v>74</v>
      </c>
      <c r="BQ278" t="s">
        <v>74</v>
      </c>
      <c r="BR278" t="s">
        <v>105</v>
      </c>
      <c r="BS278" t="s">
        <v>2280</v>
      </c>
      <c r="BT278" t="str">
        <f>HYPERLINK("https%3A%2F%2Fwww.webofscience.com%2Fwos%2Fwoscc%2Ffull-record%2FWOS:000777493700006","View Full Record in Web of Science")</f>
        <v>View Full Record in Web of Science</v>
      </c>
    </row>
    <row r="279" spans="1:72" x14ac:dyDescent="0.2">
      <c r="A279" t="s">
        <v>72</v>
      </c>
      <c r="B279" t="s">
        <v>4806</v>
      </c>
      <c r="C279" t="s">
        <v>74</v>
      </c>
      <c r="D279" t="s">
        <v>74</v>
      </c>
      <c r="E279" t="s">
        <v>74</v>
      </c>
      <c r="F279" t="s">
        <v>4807</v>
      </c>
      <c r="G279" t="s">
        <v>74</v>
      </c>
      <c r="H279" t="s">
        <v>74</v>
      </c>
      <c r="I279" t="s">
        <v>4808</v>
      </c>
      <c r="J279" t="s">
        <v>4809</v>
      </c>
      <c r="K279" t="s">
        <v>74</v>
      </c>
      <c r="L279" t="s">
        <v>74</v>
      </c>
      <c r="M279" t="s">
        <v>78</v>
      </c>
      <c r="N279" t="s">
        <v>79</v>
      </c>
      <c r="O279" t="s">
        <v>74</v>
      </c>
      <c r="P279" t="s">
        <v>74</v>
      </c>
      <c r="Q279" t="s">
        <v>74</v>
      </c>
      <c r="R279" t="s">
        <v>74</v>
      </c>
      <c r="S279" t="s">
        <v>74</v>
      </c>
      <c r="T279" t="s">
        <v>4810</v>
      </c>
      <c r="U279" t="s">
        <v>4811</v>
      </c>
      <c r="V279" t="s">
        <v>4812</v>
      </c>
      <c r="W279" s="1" t="s">
        <v>4813</v>
      </c>
      <c r="X279" t="s">
        <v>4814</v>
      </c>
      <c r="Y279" t="s">
        <v>4815</v>
      </c>
      <c r="Z279" t="s">
        <v>4816</v>
      </c>
      <c r="AA279" t="s">
        <v>4817</v>
      </c>
      <c r="AB279" t="s">
        <v>4818</v>
      </c>
      <c r="AC279" t="s">
        <v>4819</v>
      </c>
      <c r="AD279" t="s">
        <v>4820</v>
      </c>
      <c r="AE279" t="s">
        <v>4821</v>
      </c>
      <c r="AF279" t="s">
        <v>4822</v>
      </c>
      <c r="AG279">
        <v>48</v>
      </c>
      <c r="AH279">
        <v>0</v>
      </c>
      <c r="AI279">
        <v>0</v>
      </c>
      <c r="AJ279">
        <v>2</v>
      </c>
      <c r="AK279">
        <v>9</v>
      </c>
      <c r="AL279" t="s">
        <v>4823</v>
      </c>
      <c r="AM279" t="s">
        <v>4824</v>
      </c>
      <c r="AN279" t="s">
        <v>4825</v>
      </c>
      <c r="AO279" t="s">
        <v>4826</v>
      </c>
      <c r="AP279" t="s">
        <v>4827</v>
      </c>
      <c r="AQ279" t="s">
        <v>74</v>
      </c>
      <c r="AR279" t="s">
        <v>4828</v>
      </c>
      <c r="AS279" t="s">
        <v>4829</v>
      </c>
      <c r="AT279" t="s">
        <v>268</v>
      </c>
      <c r="AU279">
        <v>2022</v>
      </c>
      <c r="AV279">
        <v>37</v>
      </c>
      <c r="AW279">
        <v>4</v>
      </c>
      <c r="AX279" t="s">
        <v>74</v>
      </c>
      <c r="AY279" t="s">
        <v>74</v>
      </c>
      <c r="AZ279" t="s">
        <v>74</v>
      </c>
      <c r="BA279" t="s">
        <v>74</v>
      </c>
      <c r="BB279">
        <v>4374</v>
      </c>
      <c r="BC279">
        <v>4384</v>
      </c>
      <c r="BD279" t="s">
        <v>74</v>
      </c>
      <c r="BE279" t="s">
        <v>4830</v>
      </c>
      <c r="BF279" t="str">
        <f>HYPERLINK("http://dx.doi.org/10.1109/TPEL.2021.3122934","http://dx.doi.org/10.1109/TPEL.2021.3122934")</f>
        <v>http://dx.doi.org/10.1109/TPEL.2021.3122934</v>
      </c>
      <c r="BG279" t="s">
        <v>74</v>
      </c>
      <c r="BH279" t="s">
        <v>74</v>
      </c>
      <c r="BI279">
        <v>11</v>
      </c>
      <c r="BJ279" t="s">
        <v>4831</v>
      </c>
      <c r="BK279" t="s">
        <v>102</v>
      </c>
      <c r="BL279" t="s">
        <v>324</v>
      </c>
      <c r="BM279" t="s">
        <v>4832</v>
      </c>
      <c r="BN279" t="s">
        <v>74</v>
      </c>
      <c r="BO279" t="s">
        <v>1191</v>
      </c>
      <c r="BP279" t="s">
        <v>74</v>
      </c>
      <c r="BQ279" t="s">
        <v>74</v>
      </c>
      <c r="BR279" t="s">
        <v>105</v>
      </c>
      <c r="BS279" t="s">
        <v>4833</v>
      </c>
      <c r="BT279" t="str">
        <f>HYPERLINK("https%3A%2F%2Fwww.webofscience.com%2Fwos%2Fwoscc%2Ffull-record%2FWOS:000733963100066","View Full Record in Web of Science")</f>
        <v>View Full Record in Web of Science</v>
      </c>
    </row>
    <row r="280" spans="1:72" x14ac:dyDescent="0.2">
      <c r="A280" t="s">
        <v>72</v>
      </c>
      <c r="B280" t="s">
        <v>4834</v>
      </c>
      <c r="C280" t="s">
        <v>74</v>
      </c>
      <c r="D280" t="s">
        <v>74</v>
      </c>
      <c r="E280" t="s">
        <v>74</v>
      </c>
      <c r="F280" t="s">
        <v>4835</v>
      </c>
      <c r="G280" t="s">
        <v>74</v>
      </c>
      <c r="H280" t="s">
        <v>74</v>
      </c>
      <c r="I280" t="s">
        <v>4836</v>
      </c>
      <c r="J280" t="s">
        <v>4837</v>
      </c>
      <c r="K280" t="s">
        <v>74</v>
      </c>
      <c r="L280" t="s">
        <v>74</v>
      </c>
      <c r="M280" t="s">
        <v>1517</v>
      </c>
      <c r="N280" t="s">
        <v>137</v>
      </c>
      <c r="O280" t="s">
        <v>74</v>
      </c>
      <c r="P280" t="s">
        <v>74</v>
      </c>
      <c r="Q280" t="s">
        <v>74</v>
      </c>
      <c r="R280" t="s">
        <v>74</v>
      </c>
      <c r="S280" t="s">
        <v>74</v>
      </c>
      <c r="T280" t="s">
        <v>4838</v>
      </c>
      <c r="U280" t="s">
        <v>4839</v>
      </c>
      <c r="V280" t="s">
        <v>4840</v>
      </c>
      <c r="W280" s="1" t="s">
        <v>4841</v>
      </c>
      <c r="X280" t="s">
        <v>946</v>
      </c>
      <c r="Y280" t="s">
        <v>4842</v>
      </c>
      <c r="Z280" t="s">
        <v>4843</v>
      </c>
      <c r="AA280" t="s">
        <v>74</v>
      </c>
      <c r="AB280" t="s">
        <v>74</v>
      </c>
      <c r="AC280" t="s">
        <v>74</v>
      </c>
      <c r="AD280" t="s">
        <v>74</v>
      </c>
      <c r="AE280" t="s">
        <v>74</v>
      </c>
      <c r="AF280" t="s">
        <v>4844</v>
      </c>
      <c r="AG280">
        <v>120</v>
      </c>
      <c r="AH280">
        <v>0</v>
      </c>
      <c r="AI280">
        <v>0</v>
      </c>
      <c r="AJ280">
        <v>3</v>
      </c>
      <c r="AK280">
        <v>4</v>
      </c>
      <c r="AL280" t="s">
        <v>437</v>
      </c>
      <c r="AM280" t="s">
        <v>151</v>
      </c>
      <c r="AN280" t="s">
        <v>4845</v>
      </c>
      <c r="AO280" t="s">
        <v>4846</v>
      </c>
      <c r="AP280" t="s">
        <v>4847</v>
      </c>
      <c r="AQ280" t="s">
        <v>74</v>
      </c>
      <c r="AR280" t="s">
        <v>4848</v>
      </c>
      <c r="AS280" t="s">
        <v>4849</v>
      </c>
      <c r="AT280" t="s">
        <v>4850</v>
      </c>
      <c r="AU280">
        <v>2022</v>
      </c>
      <c r="AV280" t="s">
        <v>74</v>
      </c>
      <c r="AW280" t="s">
        <v>74</v>
      </c>
      <c r="AX280" t="s">
        <v>74</v>
      </c>
      <c r="AY280" t="s">
        <v>74</v>
      </c>
      <c r="AZ280" t="s">
        <v>74</v>
      </c>
      <c r="BA280" t="s">
        <v>74</v>
      </c>
      <c r="BB280" t="s">
        <v>74</v>
      </c>
      <c r="BC280" t="s">
        <v>74</v>
      </c>
      <c r="BD280" t="s">
        <v>74</v>
      </c>
      <c r="BE280" t="s">
        <v>4851</v>
      </c>
      <c r="BF280" t="str">
        <f>HYPERLINK("http://dx.doi.org/10.1017/laq.2022.41","http://dx.doi.org/10.1017/laq.2022.41")</f>
        <v>http://dx.doi.org/10.1017/laq.2022.41</v>
      </c>
      <c r="BG280" t="s">
        <v>74</v>
      </c>
      <c r="BH280" t="s">
        <v>626</v>
      </c>
      <c r="BI280">
        <v>19</v>
      </c>
      <c r="BJ280" t="s">
        <v>4852</v>
      </c>
      <c r="BK280" t="s">
        <v>4472</v>
      </c>
      <c r="BL280" t="s">
        <v>4852</v>
      </c>
      <c r="BM280" t="s">
        <v>4853</v>
      </c>
      <c r="BN280" t="s">
        <v>74</v>
      </c>
      <c r="BO280" t="s">
        <v>74</v>
      </c>
      <c r="BP280" t="s">
        <v>74</v>
      </c>
      <c r="BQ280" t="s">
        <v>74</v>
      </c>
      <c r="BR280" t="s">
        <v>105</v>
      </c>
      <c r="BS280" t="s">
        <v>4854</v>
      </c>
      <c r="BT280" t="str">
        <f>HYPERLINK("https%3A%2F%2Fwww.webofscience.com%2Fwos%2Fwoscc%2Ffull-record%2FWOS:000803723400001","View Full Record in Web of Science")</f>
        <v>View Full Record in Web of Science</v>
      </c>
    </row>
    <row r="281" spans="1:72" x14ac:dyDescent="0.2">
      <c r="A281" t="s">
        <v>72</v>
      </c>
      <c r="B281" t="s">
        <v>4317</v>
      </c>
      <c r="C281" t="s">
        <v>74</v>
      </c>
      <c r="D281" t="s">
        <v>74</v>
      </c>
      <c r="E281" t="s">
        <v>74</v>
      </c>
      <c r="F281" t="s">
        <v>4318</v>
      </c>
      <c r="G281" t="s">
        <v>74</v>
      </c>
      <c r="H281" t="s">
        <v>74</v>
      </c>
      <c r="I281" t="s">
        <v>4319</v>
      </c>
      <c r="J281" t="s">
        <v>4320</v>
      </c>
      <c r="K281" t="s">
        <v>74</v>
      </c>
      <c r="L281" t="s">
        <v>74</v>
      </c>
      <c r="M281" t="s">
        <v>78</v>
      </c>
      <c r="N281" t="s">
        <v>167</v>
      </c>
      <c r="O281" t="s">
        <v>74</v>
      </c>
      <c r="P281" t="s">
        <v>74</v>
      </c>
      <c r="Q281" t="s">
        <v>74</v>
      </c>
      <c r="R281" t="s">
        <v>74</v>
      </c>
      <c r="S281" t="s">
        <v>74</v>
      </c>
      <c r="T281" t="s">
        <v>4321</v>
      </c>
      <c r="U281" t="s">
        <v>4322</v>
      </c>
      <c r="V281" t="s">
        <v>4323</v>
      </c>
      <c r="W281" s="1" t="s">
        <v>4324</v>
      </c>
      <c r="X281" t="s">
        <v>4325</v>
      </c>
      <c r="Y281" t="s">
        <v>4326</v>
      </c>
      <c r="Z281" t="s">
        <v>4327</v>
      </c>
      <c r="AA281" t="s">
        <v>74</v>
      </c>
      <c r="AB281" t="s">
        <v>74</v>
      </c>
      <c r="AC281" t="s">
        <v>74</v>
      </c>
      <c r="AD281" t="s">
        <v>74</v>
      </c>
      <c r="AE281" t="s">
        <v>74</v>
      </c>
      <c r="AF281" t="s">
        <v>4328</v>
      </c>
      <c r="AG281">
        <v>43</v>
      </c>
      <c r="AH281">
        <v>0</v>
      </c>
      <c r="AI281">
        <v>0</v>
      </c>
      <c r="AJ281">
        <v>0</v>
      </c>
      <c r="AK281">
        <v>0</v>
      </c>
      <c r="AL281" t="s">
        <v>4329</v>
      </c>
      <c r="AM281" t="s">
        <v>316</v>
      </c>
      <c r="AN281" t="s">
        <v>4330</v>
      </c>
      <c r="AO281" t="s">
        <v>4331</v>
      </c>
      <c r="AP281" t="s">
        <v>74</v>
      </c>
      <c r="AQ281" t="s">
        <v>74</v>
      </c>
      <c r="AR281" t="s">
        <v>4332</v>
      </c>
      <c r="AS281" t="s">
        <v>4333</v>
      </c>
      <c r="AT281" t="s">
        <v>74</v>
      </c>
      <c r="AU281">
        <v>2022</v>
      </c>
      <c r="AV281">
        <v>21</v>
      </c>
      <c r="AW281" t="s">
        <v>74</v>
      </c>
      <c r="AX281" t="s">
        <v>74</v>
      </c>
      <c r="AY281" t="s">
        <v>74</v>
      </c>
      <c r="AZ281" t="s">
        <v>74</v>
      </c>
      <c r="BA281" t="s">
        <v>74</v>
      </c>
      <c r="BB281">
        <v>18</v>
      </c>
      <c r="BC281">
        <v>18</v>
      </c>
      <c r="BD281" t="s">
        <v>74</v>
      </c>
      <c r="BE281" t="s">
        <v>4334</v>
      </c>
      <c r="BF281" t="str">
        <f>HYPERLINK("http://dx.doi.org/10.11144/Javeriana.upsy21.acnn","http://dx.doi.org/10.11144/Javeriana.upsy21.acnn")</f>
        <v>http://dx.doi.org/10.11144/Javeriana.upsy21.acnn</v>
      </c>
      <c r="BG281" t="s">
        <v>74</v>
      </c>
      <c r="BH281" t="s">
        <v>74</v>
      </c>
      <c r="BI281">
        <v>1</v>
      </c>
      <c r="BJ281" t="s">
        <v>2200</v>
      </c>
      <c r="BK281" t="s">
        <v>4335</v>
      </c>
      <c r="BL281" t="s">
        <v>2201</v>
      </c>
      <c r="BM281" t="s">
        <v>4336</v>
      </c>
      <c r="BN281" t="s">
        <v>74</v>
      </c>
      <c r="BO281" t="s">
        <v>190</v>
      </c>
      <c r="BP281" t="s">
        <v>74</v>
      </c>
      <c r="BQ281" t="s">
        <v>74</v>
      </c>
      <c r="BR281" t="s">
        <v>105</v>
      </c>
      <c r="BS281" t="s">
        <v>4337</v>
      </c>
      <c r="BT281" t="str">
        <f>HYPERLINK("https%3A%2F%2Fwww.webofscience.com%2Fwos%2Fwoscc%2Ffull-record%2FWOS:000904823000002","View Full Record in Web of Science")</f>
        <v>View Full Record in Web of Science</v>
      </c>
    </row>
    <row r="282" spans="1:72" x14ac:dyDescent="0.2">
      <c r="A282" t="s">
        <v>72</v>
      </c>
      <c r="B282" t="s">
        <v>1877</v>
      </c>
      <c r="C282" t="s">
        <v>74</v>
      </c>
      <c r="D282" t="s">
        <v>74</v>
      </c>
      <c r="E282" t="s">
        <v>74</v>
      </c>
      <c r="F282" t="s">
        <v>1878</v>
      </c>
      <c r="G282" t="s">
        <v>74</v>
      </c>
      <c r="H282" t="s">
        <v>74</v>
      </c>
      <c r="I282" t="s">
        <v>1879</v>
      </c>
      <c r="J282" t="s">
        <v>1880</v>
      </c>
      <c r="K282" t="s">
        <v>74</v>
      </c>
      <c r="L282" t="s">
        <v>74</v>
      </c>
      <c r="M282" t="s">
        <v>78</v>
      </c>
      <c r="N282" t="s">
        <v>79</v>
      </c>
      <c r="O282" t="s">
        <v>74</v>
      </c>
      <c r="P282" t="s">
        <v>74</v>
      </c>
      <c r="Q282" t="s">
        <v>74</v>
      </c>
      <c r="R282" t="s">
        <v>74</v>
      </c>
      <c r="S282" t="s">
        <v>74</v>
      </c>
      <c r="T282" t="s">
        <v>1881</v>
      </c>
      <c r="U282" t="s">
        <v>74</v>
      </c>
      <c r="V282" t="s">
        <v>1882</v>
      </c>
      <c r="W282" s="1" t="s">
        <v>1883</v>
      </c>
      <c r="X282" t="s">
        <v>84</v>
      </c>
      <c r="Y282" t="s">
        <v>1884</v>
      </c>
      <c r="Z282" t="s">
        <v>1885</v>
      </c>
      <c r="AA282" t="s">
        <v>1886</v>
      </c>
      <c r="AB282" t="s">
        <v>1887</v>
      </c>
      <c r="AC282" t="s">
        <v>1888</v>
      </c>
      <c r="AD282" t="s">
        <v>1889</v>
      </c>
      <c r="AE282" t="s">
        <v>1890</v>
      </c>
      <c r="AF282" t="s">
        <v>1891</v>
      </c>
      <c r="AG282">
        <v>68</v>
      </c>
      <c r="AH282">
        <v>0</v>
      </c>
      <c r="AI282">
        <v>0</v>
      </c>
      <c r="AJ282">
        <v>1</v>
      </c>
      <c r="AK282">
        <v>1</v>
      </c>
      <c r="AL282" t="s">
        <v>1892</v>
      </c>
      <c r="AM282" t="s">
        <v>1893</v>
      </c>
      <c r="AN282" t="s">
        <v>1894</v>
      </c>
      <c r="AO282" t="s">
        <v>74</v>
      </c>
      <c r="AP282" t="s">
        <v>1895</v>
      </c>
      <c r="AQ282" t="s">
        <v>74</v>
      </c>
      <c r="AR282" t="s">
        <v>1896</v>
      </c>
      <c r="AS282" t="s">
        <v>1897</v>
      </c>
      <c r="AT282" t="s">
        <v>74</v>
      </c>
      <c r="AU282">
        <v>2022</v>
      </c>
      <c r="AV282">
        <v>17</v>
      </c>
      <c r="AW282">
        <v>1</v>
      </c>
      <c r="AX282" t="s">
        <v>74</v>
      </c>
      <c r="AY282" t="s">
        <v>74</v>
      </c>
      <c r="AZ282" t="s">
        <v>74</v>
      </c>
      <c r="BA282" t="s">
        <v>74</v>
      </c>
      <c r="BB282">
        <v>39</v>
      </c>
      <c r="BC282">
        <v>57</v>
      </c>
      <c r="BD282" t="s">
        <v>74</v>
      </c>
      <c r="BE282" t="s">
        <v>1898</v>
      </c>
      <c r="BF282" t="str">
        <f>HYPERLINK("http://dx.doi.org/10.3897/neotropical.17.e66096","http://dx.doi.org/10.3897/neotropical.17.e66096")</f>
        <v>http://dx.doi.org/10.3897/neotropical.17.e66096</v>
      </c>
      <c r="BG282" t="s">
        <v>74</v>
      </c>
      <c r="BH282" t="s">
        <v>74</v>
      </c>
      <c r="BI282">
        <v>19</v>
      </c>
      <c r="BJ282" t="s">
        <v>1899</v>
      </c>
      <c r="BK282" t="s">
        <v>187</v>
      </c>
      <c r="BL282" t="s">
        <v>1900</v>
      </c>
      <c r="BM282" t="s">
        <v>1901</v>
      </c>
      <c r="BN282" t="s">
        <v>74</v>
      </c>
      <c r="BO282" t="s">
        <v>190</v>
      </c>
      <c r="BP282" t="s">
        <v>74</v>
      </c>
      <c r="BQ282" t="s">
        <v>74</v>
      </c>
      <c r="BR282" t="s">
        <v>105</v>
      </c>
      <c r="BS282" t="s">
        <v>1902</v>
      </c>
      <c r="BT282" t="str">
        <f>HYPERLINK("https%3A%2F%2Fwww.webofscience.com%2Fwos%2Fwoscc%2Ffull-record%2FWOS:000774037900001","View Full Record in Web of Science")</f>
        <v>View Full Record in Web of Science</v>
      </c>
    </row>
    <row r="283" spans="1:72" x14ac:dyDescent="0.2">
      <c r="A283" t="s">
        <v>72</v>
      </c>
      <c r="B283" t="s">
        <v>5665</v>
      </c>
      <c r="C283" t="s">
        <v>74</v>
      </c>
      <c r="D283" t="s">
        <v>74</v>
      </c>
      <c r="E283" t="s">
        <v>74</v>
      </c>
      <c r="F283" t="s">
        <v>5666</v>
      </c>
      <c r="G283" t="s">
        <v>74</v>
      </c>
      <c r="H283" t="s">
        <v>74</v>
      </c>
      <c r="I283" t="s">
        <v>5667</v>
      </c>
      <c r="J283" t="s">
        <v>5668</v>
      </c>
      <c r="K283" t="s">
        <v>74</v>
      </c>
      <c r="L283" t="s">
        <v>74</v>
      </c>
      <c r="M283" t="s">
        <v>1517</v>
      </c>
      <c r="N283" t="s">
        <v>79</v>
      </c>
      <c r="O283" t="s">
        <v>74</v>
      </c>
      <c r="P283" t="s">
        <v>74</v>
      </c>
      <c r="Q283" t="s">
        <v>74</v>
      </c>
      <c r="R283" t="s">
        <v>74</v>
      </c>
      <c r="S283" t="s">
        <v>74</v>
      </c>
      <c r="T283" t="s">
        <v>74</v>
      </c>
      <c r="U283" t="s">
        <v>74</v>
      </c>
      <c r="V283" t="s">
        <v>5669</v>
      </c>
      <c r="W283" s="1" t="s">
        <v>5670</v>
      </c>
      <c r="X283" t="s">
        <v>84</v>
      </c>
      <c r="Y283" t="s">
        <v>5671</v>
      </c>
      <c r="Z283" t="s">
        <v>5672</v>
      </c>
      <c r="AA283" t="s">
        <v>74</v>
      </c>
      <c r="AB283" t="s">
        <v>5673</v>
      </c>
      <c r="AC283" t="s">
        <v>74</v>
      </c>
      <c r="AD283" t="s">
        <v>74</v>
      </c>
      <c r="AE283" t="s">
        <v>74</v>
      </c>
      <c r="AF283" t="s">
        <v>5674</v>
      </c>
      <c r="AG283">
        <v>71</v>
      </c>
      <c r="AH283">
        <v>0</v>
      </c>
      <c r="AI283">
        <v>0</v>
      </c>
      <c r="AJ283">
        <v>2</v>
      </c>
      <c r="AK283">
        <v>3</v>
      </c>
      <c r="AL283" t="s">
        <v>5675</v>
      </c>
      <c r="AM283" t="s">
        <v>5676</v>
      </c>
      <c r="AN283" t="s">
        <v>5677</v>
      </c>
      <c r="AO283" t="s">
        <v>5678</v>
      </c>
      <c r="AP283" t="s">
        <v>5679</v>
      </c>
      <c r="AQ283" t="s">
        <v>74</v>
      </c>
      <c r="AR283" t="s">
        <v>5680</v>
      </c>
      <c r="AS283" t="s">
        <v>5681</v>
      </c>
      <c r="AT283" t="s">
        <v>1162</v>
      </c>
      <c r="AU283">
        <v>2022</v>
      </c>
      <c r="AV283">
        <v>29</v>
      </c>
      <c r="AW283">
        <v>1</v>
      </c>
      <c r="AX283" t="s">
        <v>74</v>
      </c>
      <c r="AY283" t="s">
        <v>74</v>
      </c>
      <c r="AZ283" t="s">
        <v>74</v>
      </c>
      <c r="BA283" t="s">
        <v>74</v>
      </c>
      <c r="BB283" t="s">
        <v>74</v>
      </c>
      <c r="BC283" t="s">
        <v>74</v>
      </c>
      <c r="BD283" t="s">
        <v>5682</v>
      </c>
      <c r="BE283" t="s">
        <v>5683</v>
      </c>
      <c r="BF283" t="str">
        <f>HYPERLINK("http://dx.doi.org/10.15381/rpb.v29i1.20887","http://dx.doi.org/10.15381/rpb.v29i1.20887")</f>
        <v>http://dx.doi.org/10.15381/rpb.v29i1.20887</v>
      </c>
      <c r="BG283" t="s">
        <v>74</v>
      </c>
      <c r="BH283" t="s">
        <v>74</v>
      </c>
      <c r="BI283">
        <v>10</v>
      </c>
      <c r="BJ283" t="s">
        <v>855</v>
      </c>
      <c r="BK283" t="s">
        <v>187</v>
      </c>
      <c r="BL283" t="s">
        <v>856</v>
      </c>
      <c r="BM283" t="s">
        <v>5684</v>
      </c>
      <c r="BN283" t="s">
        <v>74</v>
      </c>
      <c r="BO283" t="s">
        <v>190</v>
      </c>
      <c r="BP283" t="s">
        <v>74</v>
      </c>
      <c r="BQ283" t="s">
        <v>74</v>
      </c>
      <c r="BR283" t="s">
        <v>105</v>
      </c>
      <c r="BS283" t="s">
        <v>5685</v>
      </c>
      <c r="BT283" t="str">
        <f>HYPERLINK("https%3A%2F%2Fwww.webofscience.com%2Fwos%2Fwoscc%2Ffull-record%2FWOS:000772076300001","View Full Record in Web of Science")</f>
        <v>View Full Record in Web of Science</v>
      </c>
    </row>
    <row r="284" spans="1:72" x14ac:dyDescent="0.2">
      <c r="A284" t="s">
        <v>72</v>
      </c>
      <c r="B284" t="s">
        <v>3553</v>
      </c>
      <c r="C284" t="s">
        <v>74</v>
      </c>
      <c r="D284" t="s">
        <v>74</v>
      </c>
      <c r="E284" t="s">
        <v>74</v>
      </c>
      <c r="F284" t="s">
        <v>3554</v>
      </c>
      <c r="G284" t="s">
        <v>74</v>
      </c>
      <c r="H284" t="s">
        <v>74</v>
      </c>
      <c r="I284" t="s">
        <v>3555</v>
      </c>
      <c r="J284" t="s">
        <v>3556</v>
      </c>
      <c r="K284" t="s">
        <v>74</v>
      </c>
      <c r="L284" t="s">
        <v>74</v>
      </c>
      <c r="M284" t="s">
        <v>78</v>
      </c>
      <c r="N284" t="s">
        <v>137</v>
      </c>
      <c r="O284" t="s">
        <v>74</v>
      </c>
      <c r="P284" t="s">
        <v>74</v>
      </c>
      <c r="Q284" t="s">
        <v>74</v>
      </c>
      <c r="R284" t="s">
        <v>74</v>
      </c>
      <c r="S284" t="s">
        <v>74</v>
      </c>
      <c r="T284" t="s">
        <v>3557</v>
      </c>
      <c r="U284" t="s">
        <v>3558</v>
      </c>
      <c r="V284" t="s">
        <v>3559</v>
      </c>
      <c r="W284" s="1" t="s">
        <v>3560</v>
      </c>
      <c r="X284" t="s">
        <v>3561</v>
      </c>
      <c r="Y284" t="s">
        <v>3562</v>
      </c>
      <c r="Z284" t="s">
        <v>3563</v>
      </c>
      <c r="AA284" t="s">
        <v>74</v>
      </c>
      <c r="AB284" t="s">
        <v>74</v>
      </c>
      <c r="AC284" t="s">
        <v>3564</v>
      </c>
      <c r="AD284" t="s">
        <v>3565</v>
      </c>
      <c r="AE284" t="s">
        <v>3566</v>
      </c>
      <c r="AF284" t="s">
        <v>3567</v>
      </c>
      <c r="AG284">
        <v>61</v>
      </c>
      <c r="AH284">
        <v>0</v>
      </c>
      <c r="AI284">
        <v>0</v>
      </c>
      <c r="AJ284">
        <v>0</v>
      </c>
      <c r="AK284">
        <v>0</v>
      </c>
      <c r="AL284" t="s">
        <v>727</v>
      </c>
      <c r="AM284" t="s">
        <v>728</v>
      </c>
      <c r="AN284" t="s">
        <v>729</v>
      </c>
      <c r="AO284" t="s">
        <v>3568</v>
      </c>
      <c r="AP284" t="s">
        <v>3569</v>
      </c>
      <c r="AQ284" t="s">
        <v>74</v>
      </c>
      <c r="AR284" t="s">
        <v>3570</v>
      </c>
      <c r="AS284" t="s">
        <v>3571</v>
      </c>
      <c r="AT284" t="s">
        <v>3572</v>
      </c>
      <c r="AU284">
        <v>2023</v>
      </c>
      <c r="AV284" t="s">
        <v>74</v>
      </c>
      <c r="AW284" t="s">
        <v>74</v>
      </c>
      <c r="AX284" t="s">
        <v>74</v>
      </c>
      <c r="AY284" t="s">
        <v>74</v>
      </c>
      <c r="AZ284" t="s">
        <v>74</v>
      </c>
      <c r="BA284" t="s">
        <v>74</v>
      </c>
      <c r="BB284" t="s">
        <v>74</v>
      </c>
      <c r="BC284" t="s">
        <v>74</v>
      </c>
      <c r="BD284" t="s">
        <v>74</v>
      </c>
      <c r="BE284" t="s">
        <v>3573</v>
      </c>
      <c r="BF284" t="str">
        <f>HYPERLINK("http://dx.doi.org/10.1080/10420150.2023.2211196","http://dx.doi.org/10.1080/10420150.2023.2211196")</f>
        <v>http://dx.doi.org/10.1080/10420150.2023.2211196</v>
      </c>
      <c r="BG284" t="s">
        <v>74</v>
      </c>
      <c r="BH284" t="s">
        <v>3574</v>
      </c>
      <c r="BI284">
        <v>16</v>
      </c>
      <c r="BJ284" t="s">
        <v>3575</v>
      </c>
      <c r="BK284" t="s">
        <v>102</v>
      </c>
      <c r="BL284" t="s">
        <v>3576</v>
      </c>
      <c r="BM284" t="s">
        <v>3577</v>
      </c>
      <c r="BN284" t="s">
        <v>74</v>
      </c>
      <c r="BO284" t="s">
        <v>74</v>
      </c>
      <c r="BP284" t="s">
        <v>74</v>
      </c>
      <c r="BQ284" t="s">
        <v>74</v>
      </c>
      <c r="BR284" t="s">
        <v>105</v>
      </c>
      <c r="BS284" t="s">
        <v>3578</v>
      </c>
      <c r="BT284" t="str">
        <f>HYPERLINK("https%3A%2F%2Fwww.webofscience.com%2Fwos%2Fwoscc%2Ffull-record%2FWOS:000986003000001","View Full Record in Web of Science")</f>
        <v>View Full Record in Web of Science</v>
      </c>
    </row>
    <row r="285" spans="1:72" x14ac:dyDescent="0.2">
      <c r="A285" t="s">
        <v>72</v>
      </c>
      <c r="B285" t="s">
        <v>3962</v>
      </c>
      <c r="C285" t="s">
        <v>74</v>
      </c>
      <c r="D285" t="s">
        <v>74</v>
      </c>
      <c r="E285" t="s">
        <v>74</v>
      </c>
      <c r="F285" t="s">
        <v>3963</v>
      </c>
      <c r="G285" t="s">
        <v>74</v>
      </c>
      <c r="H285" t="s">
        <v>74</v>
      </c>
      <c r="I285" t="s">
        <v>3964</v>
      </c>
      <c r="J285" t="s">
        <v>2326</v>
      </c>
      <c r="K285" t="s">
        <v>74</v>
      </c>
      <c r="L285" t="s">
        <v>74</v>
      </c>
      <c r="M285" t="s">
        <v>1517</v>
      </c>
      <c r="N285" t="s">
        <v>79</v>
      </c>
      <c r="O285" t="s">
        <v>74</v>
      </c>
      <c r="P285" t="s">
        <v>74</v>
      </c>
      <c r="Q285" t="s">
        <v>74</v>
      </c>
      <c r="R285" t="s">
        <v>74</v>
      </c>
      <c r="S285" t="s">
        <v>74</v>
      </c>
      <c r="T285" t="s">
        <v>3965</v>
      </c>
      <c r="U285" t="s">
        <v>74</v>
      </c>
      <c r="V285" t="s">
        <v>3966</v>
      </c>
      <c r="W285" s="1" t="s">
        <v>3967</v>
      </c>
      <c r="X285" t="s">
        <v>84</v>
      </c>
      <c r="Y285" t="s">
        <v>3968</v>
      </c>
      <c r="Z285" t="s">
        <v>3742</v>
      </c>
      <c r="AA285" t="s">
        <v>74</v>
      </c>
      <c r="AB285" t="s">
        <v>74</v>
      </c>
      <c r="AC285" t="s">
        <v>74</v>
      </c>
      <c r="AD285" t="s">
        <v>74</v>
      </c>
      <c r="AE285" t="s">
        <v>74</v>
      </c>
      <c r="AF285" t="s">
        <v>3969</v>
      </c>
      <c r="AG285">
        <v>27</v>
      </c>
      <c r="AH285">
        <v>0</v>
      </c>
      <c r="AI285">
        <v>0</v>
      </c>
      <c r="AJ285">
        <v>0</v>
      </c>
      <c r="AK285">
        <v>3</v>
      </c>
      <c r="AL285" t="s">
        <v>1930</v>
      </c>
      <c r="AM285" t="s">
        <v>1931</v>
      </c>
      <c r="AN285" t="s">
        <v>1932</v>
      </c>
      <c r="AO285" t="s">
        <v>2333</v>
      </c>
      <c r="AP285" t="s">
        <v>2334</v>
      </c>
      <c r="AQ285" t="s">
        <v>74</v>
      </c>
      <c r="AR285" t="s">
        <v>2335</v>
      </c>
      <c r="AS285" t="s">
        <v>2336</v>
      </c>
      <c r="AT285" t="s">
        <v>74</v>
      </c>
      <c r="AU285">
        <v>2022</v>
      </c>
      <c r="AV285">
        <v>13</v>
      </c>
      <c r="AW285">
        <v>32</v>
      </c>
      <c r="AX285" t="s">
        <v>74</v>
      </c>
      <c r="AY285" t="s">
        <v>74</v>
      </c>
      <c r="AZ285" t="s">
        <v>74</v>
      </c>
      <c r="BA285" t="s">
        <v>74</v>
      </c>
      <c r="BB285" t="s">
        <v>74</v>
      </c>
      <c r="BC285" t="s">
        <v>74</v>
      </c>
      <c r="BD285" t="s">
        <v>3970</v>
      </c>
      <c r="BE285" t="s">
        <v>3971</v>
      </c>
      <c r="BF285" t="str">
        <f>HYPERLINK("http://dx.doi.org/10.19053/22160159.v13.n32.2022.12522","http://dx.doi.org/10.19053/22160159.v13.n32.2022.12522")</f>
        <v>http://dx.doi.org/10.19053/22160159.v13.n32.2022.12522</v>
      </c>
      <c r="BG285" t="s">
        <v>74</v>
      </c>
      <c r="BH285" t="s">
        <v>74</v>
      </c>
      <c r="BI285">
        <v>16</v>
      </c>
      <c r="BJ285" t="s">
        <v>963</v>
      </c>
      <c r="BK285" t="s">
        <v>187</v>
      </c>
      <c r="BL285" t="s">
        <v>963</v>
      </c>
      <c r="BM285" t="s">
        <v>3972</v>
      </c>
      <c r="BN285" t="s">
        <v>74</v>
      </c>
      <c r="BO285" t="s">
        <v>1111</v>
      </c>
      <c r="BP285" t="s">
        <v>74</v>
      </c>
      <c r="BQ285" t="s">
        <v>74</v>
      </c>
      <c r="BR285" t="s">
        <v>105</v>
      </c>
      <c r="BS285" t="s">
        <v>3973</v>
      </c>
      <c r="BT285" t="str">
        <f>HYPERLINK("https%3A%2F%2Fwww.webofscience.com%2Fwos%2Fwoscc%2Ffull-record%2FWOS:000740658300008","View Full Record in Web of Science")</f>
        <v>View Full Record in Web of Science</v>
      </c>
    </row>
    <row r="286" spans="1:72" x14ac:dyDescent="0.2">
      <c r="A286" t="s">
        <v>72</v>
      </c>
      <c r="B286" t="s">
        <v>3736</v>
      </c>
      <c r="C286" t="s">
        <v>74</v>
      </c>
      <c r="D286" t="s">
        <v>74</v>
      </c>
      <c r="E286" t="s">
        <v>74</v>
      </c>
      <c r="F286" t="s">
        <v>3737</v>
      </c>
      <c r="G286" t="s">
        <v>74</v>
      </c>
      <c r="H286" t="s">
        <v>74</v>
      </c>
      <c r="I286" t="s">
        <v>3738</v>
      </c>
      <c r="J286" t="s">
        <v>2326</v>
      </c>
      <c r="K286" t="s">
        <v>74</v>
      </c>
      <c r="L286" t="s">
        <v>74</v>
      </c>
      <c r="M286" t="s">
        <v>1517</v>
      </c>
      <c r="N286" t="s">
        <v>2006</v>
      </c>
      <c r="O286" t="s">
        <v>74</v>
      </c>
      <c r="P286" t="s">
        <v>74</v>
      </c>
      <c r="Q286" t="s">
        <v>74</v>
      </c>
      <c r="R286" t="s">
        <v>74</v>
      </c>
      <c r="S286" t="s">
        <v>74</v>
      </c>
      <c r="T286" t="s">
        <v>74</v>
      </c>
      <c r="U286" t="s">
        <v>74</v>
      </c>
      <c r="V286" t="s">
        <v>74</v>
      </c>
      <c r="W286" s="1" t="s">
        <v>3739</v>
      </c>
      <c r="X286" t="s">
        <v>3740</v>
      </c>
      <c r="Y286" t="s">
        <v>3741</v>
      </c>
      <c r="Z286" t="s">
        <v>3742</v>
      </c>
      <c r="AA286" t="s">
        <v>3743</v>
      </c>
      <c r="AB286" t="s">
        <v>3744</v>
      </c>
      <c r="AC286" t="s">
        <v>74</v>
      </c>
      <c r="AD286" t="s">
        <v>74</v>
      </c>
      <c r="AE286" t="s">
        <v>74</v>
      </c>
      <c r="AF286" t="s">
        <v>3745</v>
      </c>
      <c r="AG286">
        <v>14</v>
      </c>
      <c r="AH286">
        <v>0</v>
      </c>
      <c r="AI286">
        <v>0</v>
      </c>
      <c r="AJ286">
        <v>0</v>
      </c>
      <c r="AK286">
        <v>1</v>
      </c>
      <c r="AL286" t="s">
        <v>1930</v>
      </c>
      <c r="AM286" t="s">
        <v>1931</v>
      </c>
      <c r="AN286" t="s">
        <v>1932</v>
      </c>
      <c r="AO286" t="s">
        <v>2333</v>
      </c>
      <c r="AP286" t="s">
        <v>2334</v>
      </c>
      <c r="AQ286" t="s">
        <v>74</v>
      </c>
      <c r="AR286" t="s">
        <v>2335</v>
      </c>
      <c r="AS286" t="s">
        <v>2336</v>
      </c>
      <c r="AT286" t="s">
        <v>74</v>
      </c>
      <c r="AU286">
        <v>2022</v>
      </c>
      <c r="AV286">
        <v>13</v>
      </c>
      <c r="AW286">
        <v>32</v>
      </c>
      <c r="AX286" t="s">
        <v>74</v>
      </c>
      <c r="AY286" t="s">
        <v>74</v>
      </c>
      <c r="AZ286" t="s">
        <v>74</v>
      </c>
      <c r="BA286" t="s">
        <v>74</v>
      </c>
      <c r="BB286" t="s">
        <v>74</v>
      </c>
      <c r="BC286" t="s">
        <v>74</v>
      </c>
      <c r="BD286" t="s">
        <v>3746</v>
      </c>
      <c r="BE286" t="s">
        <v>3747</v>
      </c>
      <c r="BF286" t="str">
        <f>HYPERLINK("http://dx.doi.org/10.19053/22160159.v13.n32.2022.14286","http://dx.doi.org/10.19053/22160159.v13.n32.2022.14286")</f>
        <v>http://dx.doi.org/10.19053/22160159.v13.n32.2022.14286</v>
      </c>
      <c r="BG286" t="s">
        <v>74</v>
      </c>
      <c r="BH286" t="s">
        <v>74</v>
      </c>
      <c r="BI286">
        <v>6</v>
      </c>
      <c r="BJ286" t="s">
        <v>963</v>
      </c>
      <c r="BK286" t="s">
        <v>187</v>
      </c>
      <c r="BL286" t="s">
        <v>963</v>
      </c>
      <c r="BM286" t="s">
        <v>3748</v>
      </c>
      <c r="BN286" t="s">
        <v>74</v>
      </c>
      <c r="BO286" t="s">
        <v>190</v>
      </c>
      <c r="BP286" t="s">
        <v>74</v>
      </c>
      <c r="BQ286" t="s">
        <v>74</v>
      </c>
      <c r="BR286" t="s">
        <v>105</v>
      </c>
      <c r="BS286" t="s">
        <v>3749</v>
      </c>
      <c r="BT286" t="str">
        <f>HYPERLINK("https%3A%2F%2Fwww.webofscience.com%2Fwos%2Fwoscc%2Ffull-record%2FWOS:000800389000001","View Full Record in Web of Science")</f>
        <v>View Full Record in Web of Science</v>
      </c>
    </row>
    <row r="287" spans="1:72" x14ac:dyDescent="0.2">
      <c r="A287" t="s">
        <v>72</v>
      </c>
      <c r="B287" t="s">
        <v>1597</v>
      </c>
      <c r="C287" t="s">
        <v>74</v>
      </c>
      <c r="D287" t="s">
        <v>74</v>
      </c>
      <c r="E287" t="s">
        <v>74</v>
      </c>
      <c r="F287" t="s">
        <v>1598</v>
      </c>
      <c r="G287" t="s">
        <v>74</v>
      </c>
      <c r="H287" t="s">
        <v>74</v>
      </c>
      <c r="I287" t="s">
        <v>1599</v>
      </c>
      <c r="J287" t="s">
        <v>1600</v>
      </c>
      <c r="K287" t="s">
        <v>74</v>
      </c>
      <c r="L287" t="s">
        <v>74</v>
      </c>
      <c r="M287" t="s">
        <v>78</v>
      </c>
      <c r="N287" t="s">
        <v>79</v>
      </c>
      <c r="O287" t="s">
        <v>74</v>
      </c>
      <c r="P287" t="s">
        <v>74</v>
      </c>
      <c r="Q287" t="s">
        <v>74</v>
      </c>
      <c r="R287" t="s">
        <v>74</v>
      </c>
      <c r="S287" t="s">
        <v>74</v>
      </c>
      <c r="T287" t="s">
        <v>1601</v>
      </c>
      <c r="U287" t="s">
        <v>74</v>
      </c>
      <c r="V287" t="s">
        <v>1602</v>
      </c>
      <c r="W287" s="1" t="s">
        <v>1603</v>
      </c>
      <c r="X287" t="s">
        <v>84</v>
      </c>
      <c r="Y287" t="s">
        <v>1604</v>
      </c>
      <c r="Z287" t="s">
        <v>1605</v>
      </c>
      <c r="AA287" t="s">
        <v>74</v>
      </c>
      <c r="AB287" t="s">
        <v>1606</v>
      </c>
      <c r="AC287" t="s">
        <v>1607</v>
      </c>
      <c r="AD287" t="s">
        <v>1608</v>
      </c>
      <c r="AE287" t="s">
        <v>1609</v>
      </c>
      <c r="AF287" t="s">
        <v>1610</v>
      </c>
      <c r="AG287">
        <v>13</v>
      </c>
      <c r="AH287">
        <v>1</v>
      </c>
      <c r="AI287">
        <v>1</v>
      </c>
      <c r="AJ287">
        <v>4</v>
      </c>
      <c r="AK287">
        <v>6</v>
      </c>
      <c r="AL287" t="s">
        <v>93</v>
      </c>
      <c r="AM287" t="s">
        <v>94</v>
      </c>
      <c r="AN287" t="s">
        <v>95</v>
      </c>
      <c r="AO287" t="s">
        <v>74</v>
      </c>
      <c r="AP287" t="s">
        <v>1611</v>
      </c>
      <c r="AQ287" t="s">
        <v>74</v>
      </c>
      <c r="AR287" t="s">
        <v>1612</v>
      </c>
      <c r="AS287" t="s">
        <v>1613</v>
      </c>
      <c r="AT287" t="s">
        <v>476</v>
      </c>
      <c r="AU287">
        <v>2022</v>
      </c>
      <c r="AV287">
        <v>12</v>
      </c>
      <c r="AW287">
        <v>18</v>
      </c>
      <c r="AX287" t="s">
        <v>74</v>
      </c>
      <c r="AY287" t="s">
        <v>74</v>
      </c>
      <c r="AZ287" t="s">
        <v>74</v>
      </c>
      <c r="BA287" t="s">
        <v>74</v>
      </c>
      <c r="BB287" t="s">
        <v>74</v>
      </c>
      <c r="BC287" t="s">
        <v>74</v>
      </c>
      <c r="BD287">
        <v>9371</v>
      </c>
      <c r="BE287" t="s">
        <v>1614</v>
      </c>
      <c r="BF287" t="str">
        <f>HYPERLINK("http://dx.doi.org/10.3390/app12189371","http://dx.doi.org/10.3390/app12189371")</f>
        <v>http://dx.doi.org/10.3390/app12189371</v>
      </c>
      <c r="BG287" t="s">
        <v>74</v>
      </c>
      <c r="BH287" t="s">
        <v>74</v>
      </c>
      <c r="BI287">
        <v>17</v>
      </c>
      <c r="BJ287" t="s">
        <v>1615</v>
      </c>
      <c r="BK287" t="s">
        <v>102</v>
      </c>
      <c r="BL287" t="s">
        <v>1616</v>
      </c>
      <c r="BM287" t="s">
        <v>1617</v>
      </c>
      <c r="BN287" t="s">
        <v>74</v>
      </c>
      <c r="BO287" t="s">
        <v>190</v>
      </c>
      <c r="BP287" t="s">
        <v>74</v>
      </c>
      <c r="BQ287" t="s">
        <v>74</v>
      </c>
      <c r="BR287" t="s">
        <v>105</v>
      </c>
      <c r="BS287" t="s">
        <v>1618</v>
      </c>
      <c r="BT287" t="str">
        <f>HYPERLINK("https%3A%2F%2Fwww.webofscience.com%2Fwos%2Fwoscc%2Ffull-record%2FWOS:000857598400001","View Full Record in Web of Science")</f>
        <v>View Full Record in Web of Science</v>
      </c>
    </row>
    <row r="288" spans="1:72" x14ac:dyDescent="0.2">
      <c r="A288" t="s">
        <v>72</v>
      </c>
      <c r="B288" t="s">
        <v>984</v>
      </c>
      <c r="C288" t="s">
        <v>74</v>
      </c>
      <c r="D288" t="s">
        <v>74</v>
      </c>
      <c r="E288" t="s">
        <v>74</v>
      </c>
      <c r="F288" t="s">
        <v>985</v>
      </c>
      <c r="G288" t="s">
        <v>74</v>
      </c>
      <c r="H288" t="s">
        <v>74</v>
      </c>
      <c r="I288" t="s">
        <v>986</v>
      </c>
      <c r="J288" t="s">
        <v>987</v>
      </c>
      <c r="K288" t="s">
        <v>74</v>
      </c>
      <c r="L288" t="s">
        <v>74</v>
      </c>
      <c r="M288" t="s">
        <v>78</v>
      </c>
      <c r="N288" t="s">
        <v>79</v>
      </c>
      <c r="O288" t="s">
        <v>74</v>
      </c>
      <c r="P288" t="s">
        <v>74</v>
      </c>
      <c r="Q288" t="s">
        <v>74</v>
      </c>
      <c r="R288" t="s">
        <v>74</v>
      </c>
      <c r="S288" t="s">
        <v>74</v>
      </c>
      <c r="T288" t="s">
        <v>988</v>
      </c>
      <c r="U288" t="s">
        <v>989</v>
      </c>
      <c r="V288" t="s">
        <v>990</v>
      </c>
      <c r="W288" s="1" t="s">
        <v>991</v>
      </c>
      <c r="X288" t="s">
        <v>946</v>
      </c>
      <c r="Y288" t="s">
        <v>992</v>
      </c>
      <c r="Z288" t="s">
        <v>993</v>
      </c>
      <c r="AA288" t="s">
        <v>994</v>
      </c>
      <c r="AB288" t="s">
        <v>995</v>
      </c>
      <c r="AC288" t="s">
        <v>996</v>
      </c>
      <c r="AD288" t="s">
        <v>997</v>
      </c>
      <c r="AE288" t="s">
        <v>998</v>
      </c>
      <c r="AF288" t="s">
        <v>999</v>
      </c>
      <c r="AG288">
        <v>55</v>
      </c>
      <c r="AH288">
        <v>0</v>
      </c>
      <c r="AI288">
        <v>0</v>
      </c>
      <c r="AJ288">
        <v>0</v>
      </c>
      <c r="AK288">
        <v>0</v>
      </c>
      <c r="AL288" t="s">
        <v>236</v>
      </c>
      <c r="AM288" t="s">
        <v>237</v>
      </c>
      <c r="AN288" t="s">
        <v>238</v>
      </c>
      <c r="AO288" t="s">
        <v>1000</v>
      </c>
      <c r="AP288" t="s">
        <v>1001</v>
      </c>
      <c r="AQ288" t="s">
        <v>74</v>
      </c>
      <c r="AR288" t="s">
        <v>1002</v>
      </c>
      <c r="AS288" t="s">
        <v>1003</v>
      </c>
      <c r="AT288" t="s">
        <v>268</v>
      </c>
      <c r="AU288">
        <v>2023</v>
      </c>
      <c r="AV288">
        <v>12</v>
      </c>
      <c r="AW288">
        <v>1</v>
      </c>
      <c r="AX288" t="s">
        <v>74</v>
      </c>
      <c r="AY288" t="s">
        <v>74</v>
      </c>
      <c r="AZ288" t="s">
        <v>74</v>
      </c>
      <c r="BA288" t="s">
        <v>74</v>
      </c>
      <c r="BB288">
        <v>247</v>
      </c>
      <c r="BC288">
        <v>263</v>
      </c>
      <c r="BD288" t="s">
        <v>74</v>
      </c>
      <c r="BE288" t="s">
        <v>1004</v>
      </c>
      <c r="BF288" t="str">
        <f>HYPERLINK("http://dx.doi.org/10.1007/s40065-022-00410-z","http://dx.doi.org/10.1007/s40065-022-00410-z")</f>
        <v>http://dx.doi.org/10.1007/s40065-022-00410-z</v>
      </c>
      <c r="BG288" t="s">
        <v>74</v>
      </c>
      <c r="BH288" t="s">
        <v>158</v>
      </c>
      <c r="BI288">
        <v>17</v>
      </c>
      <c r="BJ288" t="s">
        <v>576</v>
      </c>
      <c r="BK288" t="s">
        <v>187</v>
      </c>
      <c r="BL288" t="s">
        <v>576</v>
      </c>
      <c r="BM288" t="s">
        <v>1005</v>
      </c>
      <c r="BN288" t="s">
        <v>74</v>
      </c>
      <c r="BO288" t="s">
        <v>419</v>
      </c>
      <c r="BP288" t="s">
        <v>74</v>
      </c>
      <c r="BQ288" t="s">
        <v>74</v>
      </c>
      <c r="BR288" t="s">
        <v>105</v>
      </c>
      <c r="BS288" t="s">
        <v>1006</v>
      </c>
      <c r="BT288" t="str">
        <f>HYPERLINK("https%3A%2F%2Fwww.webofscience.com%2Fwos%2Fwoscc%2Ffull-record%2FWOS:000896479600001","View Full Record in Web of Science")</f>
        <v>View Full Record in Web of Science</v>
      </c>
    </row>
    <row r="289" spans="1:72" x14ac:dyDescent="0.2">
      <c r="A289" t="s">
        <v>72</v>
      </c>
      <c r="B289" t="s">
        <v>1055</v>
      </c>
      <c r="C289" t="s">
        <v>74</v>
      </c>
      <c r="D289" t="s">
        <v>74</v>
      </c>
      <c r="E289" t="s">
        <v>74</v>
      </c>
      <c r="F289" t="s">
        <v>1056</v>
      </c>
      <c r="G289" t="s">
        <v>74</v>
      </c>
      <c r="H289" t="s">
        <v>74</v>
      </c>
      <c r="I289" t="s">
        <v>1057</v>
      </c>
      <c r="J289" t="s">
        <v>1058</v>
      </c>
      <c r="K289" t="s">
        <v>74</v>
      </c>
      <c r="L289" t="s">
        <v>74</v>
      </c>
      <c r="M289" t="s">
        <v>78</v>
      </c>
      <c r="N289" t="s">
        <v>137</v>
      </c>
      <c r="O289" t="s">
        <v>74</v>
      </c>
      <c r="P289" t="s">
        <v>74</v>
      </c>
      <c r="Q289" t="s">
        <v>74</v>
      </c>
      <c r="R289" t="s">
        <v>74</v>
      </c>
      <c r="S289" t="s">
        <v>74</v>
      </c>
      <c r="T289" t="s">
        <v>1059</v>
      </c>
      <c r="U289" t="s">
        <v>1060</v>
      </c>
      <c r="V289" t="s">
        <v>1061</v>
      </c>
      <c r="W289" s="1" t="s">
        <v>1062</v>
      </c>
      <c r="X289" t="s">
        <v>946</v>
      </c>
      <c r="Y289" t="s">
        <v>1063</v>
      </c>
      <c r="Z289" t="s">
        <v>1064</v>
      </c>
      <c r="AA289" t="s">
        <v>1065</v>
      </c>
      <c r="AB289" t="s">
        <v>1066</v>
      </c>
      <c r="AC289" t="s">
        <v>1067</v>
      </c>
      <c r="AD289" t="s">
        <v>1068</v>
      </c>
      <c r="AE289" t="s">
        <v>1069</v>
      </c>
      <c r="AF289" t="s">
        <v>1070</v>
      </c>
      <c r="AG289">
        <v>58</v>
      </c>
      <c r="AH289">
        <v>0</v>
      </c>
      <c r="AI289">
        <v>0</v>
      </c>
      <c r="AJ289">
        <v>0</v>
      </c>
      <c r="AK289">
        <v>0</v>
      </c>
      <c r="AL289" t="s">
        <v>1071</v>
      </c>
      <c r="AM289" t="s">
        <v>1072</v>
      </c>
      <c r="AN289" t="s">
        <v>1073</v>
      </c>
      <c r="AO289" t="s">
        <v>1074</v>
      </c>
      <c r="AP289" t="s">
        <v>1075</v>
      </c>
      <c r="AQ289" t="s">
        <v>74</v>
      </c>
      <c r="AR289" t="s">
        <v>1076</v>
      </c>
      <c r="AS289" t="s">
        <v>1077</v>
      </c>
      <c r="AT289" t="s">
        <v>1078</v>
      </c>
      <c r="AU289">
        <v>2023</v>
      </c>
      <c r="AV289" t="s">
        <v>74</v>
      </c>
      <c r="AW289" t="s">
        <v>74</v>
      </c>
      <c r="AX289" t="s">
        <v>74</v>
      </c>
      <c r="AY289" t="s">
        <v>74</v>
      </c>
      <c r="AZ289" t="s">
        <v>74</v>
      </c>
      <c r="BA289" t="s">
        <v>74</v>
      </c>
      <c r="BB289" t="s">
        <v>74</v>
      </c>
      <c r="BC289" t="s">
        <v>74</v>
      </c>
      <c r="BD289" t="s">
        <v>74</v>
      </c>
      <c r="BE289" t="s">
        <v>1079</v>
      </c>
      <c r="BF289" t="str">
        <f>HYPERLINK("http://dx.doi.org/10.1007/s40863-023-00356-w","http://dx.doi.org/10.1007/s40863-023-00356-w")</f>
        <v>http://dx.doi.org/10.1007/s40863-023-00356-w</v>
      </c>
      <c r="BG289" t="s">
        <v>74</v>
      </c>
      <c r="BH289" t="s">
        <v>1080</v>
      </c>
      <c r="BI289">
        <v>24</v>
      </c>
      <c r="BJ289" t="s">
        <v>576</v>
      </c>
      <c r="BK289" t="s">
        <v>187</v>
      </c>
      <c r="BL289" t="s">
        <v>576</v>
      </c>
      <c r="BM289" t="s">
        <v>1081</v>
      </c>
      <c r="BN289" t="s">
        <v>74</v>
      </c>
      <c r="BO289" t="s">
        <v>1082</v>
      </c>
      <c r="BP289" t="s">
        <v>74</v>
      </c>
      <c r="BQ289" t="s">
        <v>74</v>
      </c>
      <c r="BR289" t="s">
        <v>105</v>
      </c>
      <c r="BS289" t="s">
        <v>1083</v>
      </c>
      <c r="BT289" t="str">
        <f>HYPERLINK("https%3A%2F%2Fwww.webofscience.com%2Fwos%2Fwoscc%2Ffull-record%2FWOS:000971804400001","View Full Record in Web of Science")</f>
        <v>View Full Record in Web of Science</v>
      </c>
    </row>
    <row r="290" spans="1:72" x14ac:dyDescent="0.2">
      <c r="A290" t="s">
        <v>72</v>
      </c>
      <c r="B290" t="s">
        <v>3500</v>
      </c>
      <c r="C290" t="s">
        <v>74</v>
      </c>
      <c r="D290" t="s">
        <v>74</v>
      </c>
      <c r="E290" t="s">
        <v>74</v>
      </c>
      <c r="F290" t="s">
        <v>3501</v>
      </c>
      <c r="G290" t="s">
        <v>74</v>
      </c>
      <c r="H290" t="s">
        <v>74</v>
      </c>
      <c r="I290" t="s">
        <v>3502</v>
      </c>
      <c r="J290" t="s">
        <v>3503</v>
      </c>
      <c r="K290" t="s">
        <v>74</v>
      </c>
      <c r="L290" t="s">
        <v>74</v>
      </c>
      <c r="M290" t="s">
        <v>78</v>
      </c>
      <c r="N290" t="s">
        <v>79</v>
      </c>
      <c r="O290" t="s">
        <v>74</v>
      </c>
      <c r="P290" t="s">
        <v>74</v>
      </c>
      <c r="Q290" t="s">
        <v>74</v>
      </c>
      <c r="R290" t="s">
        <v>74</v>
      </c>
      <c r="S290" t="s">
        <v>74</v>
      </c>
      <c r="T290" t="s">
        <v>3504</v>
      </c>
      <c r="U290" t="s">
        <v>3505</v>
      </c>
      <c r="V290" t="s">
        <v>3506</v>
      </c>
      <c r="W290" s="1" t="s">
        <v>3507</v>
      </c>
      <c r="X290" t="s">
        <v>946</v>
      </c>
      <c r="Y290" t="s">
        <v>3508</v>
      </c>
      <c r="Z290" t="s">
        <v>3509</v>
      </c>
      <c r="AA290" t="s">
        <v>994</v>
      </c>
      <c r="AB290" t="s">
        <v>995</v>
      </c>
      <c r="AC290" t="s">
        <v>3510</v>
      </c>
      <c r="AD290" t="s">
        <v>3511</v>
      </c>
      <c r="AE290" t="s">
        <v>3512</v>
      </c>
      <c r="AF290" t="s">
        <v>3513</v>
      </c>
      <c r="AG290">
        <v>48</v>
      </c>
      <c r="AH290">
        <v>1</v>
      </c>
      <c r="AI290">
        <v>1</v>
      </c>
      <c r="AJ290">
        <v>0</v>
      </c>
      <c r="AK290">
        <v>0</v>
      </c>
      <c r="AL290" t="s">
        <v>1260</v>
      </c>
      <c r="AM290" t="s">
        <v>1261</v>
      </c>
      <c r="AN290" t="s">
        <v>1262</v>
      </c>
      <c r="AO290" t="s">
        <v>3514</v>
      </c>
      <c r="AP290" t="s">
        <v>3515</v>
      </c>
      <c r="AQ290" t="s">
        <v>74</v>
      </c>
      <c r="AR290" t="s">
        <v>3516</v>
      </c>
      <c r="AS290" t="s">
        <v>3517</v>
      </c>
      <c r="AT290" t="s">
        <v>3518</v>
      </c>
      <c r="AU290">
        <v>2022</v>
      </c>
      <c r="AV290">
        <v>50</v>
      </c>
      <c r="AW290">
        <v>8</v>
      </c>
      <c r="AX290" t="s">
        <v>74</v>
      </c>
      <c r="AY290" t="s">
        <v>74</v>
      </c>
      <c r="AZ290" t="s">
        <v>74</v>
      </c>
      <c r="BA290" t="s">
        <v>74</v>
      </c>
      <c r="BB290">
        <v>3261</v>
      </c>
      <c r="BC290">
        <v>3275</v>
      </c>
      <c r="BD290" t="s">
        <v>74</v>
      </c>
      <c r="BE290" t="s">
        <v>3519</v>
      </c>
      <c r="BF290" t="str">
        <f>HYPERLINK("http://dx.doi.org/10.1080/00927872.2022.2028799","http://dx.doi.org/10.1080/00927872.2022.2028799")</f>
        <v>http://dx.doi.org/10.1080/00927872.2022.2028799</v>
      </c>
      <c r="BG290" t="s">
        <v>74</v>
      </c>
      <c r="BH290" t="s">
        <v>389</v>
      </c>
      <c r="BI290">
        <v>15</v>
      </c>
      <c r="BJ290" t="s">
        <v>576</v>
      </c>
      <c r="BK290" t="s">
        <v>102</v>
      </c>
      <c r="BL290" t="s">
        <v>576</v>
      </c>
      <c r="BM290" t="s">
        <v>3520</v>
      </c>
      <c r="BN290" t="s">
        <v>74</v>
      </c>
      <c r="BO290" t="s">
        <v>3521</v>
      </c>
      <c r="BP290" t="s">
        <v>74</v>
      </c>
      <c r="BQ290" t="s">
        <v>74</v>
      </c>
      <c r="BR290" t="s">
        <v>105</v>
      </c>
      <c r="BS290" t="s">
        <v>3522</v>
      </c>
      <c r="BT290" t="str">
        <f>HYPERLINK("https%3A%2F%2Fwww.webofscience.com%2Fwos%2Fwoscc%2Ffull-record%2FWOS:000752320300001","View Full Record in Web of Science")</f>
        <v>View Full Record in Web of Science</v>
      </c>
    </row>
    <row r="291" spans="1:72" x14ac:dyDescent="0.2">
      <c r="A291" t="s">
        <v>72</v>
      </c>
      <c r="B291" t="s">
        <v>4855</v>
      </c>
      <c r="C291" t="s">
        <v>74</v>
      </c>
      <c r="D291" t="s">
        <v>74</v>
      </c>
      <c r="E291" t="s">
        <v>74</v>
      </c>
      <c r="F291" t="s">
        <v>4856</v>
      </c>
      <c r="G291" t="s">
        <v>74</v>
      </c>
      <c r="H291" t="s">
        <v>74</v>
      </c>
      <c r="I291" t="s">
        <v>4857</v>
      </c>
      <c r="J291" t="s">
        <v>2326</v>
      </c>
      <c r="K291" t="s">
        <v>74</v>
      </c>
      <c r="L291" t="s">
        <v>74</v>
      </c>
      <c r="M291" t="s">
        <v>78</v>
      </c>
      <c r="N291" t="s">
        <v>79</v>
      </c>
      <c r="O291" t="s">
        <v>74</v>
      </c>
      <c r="P291" t="s">
        <v>74</v>
      </c>
      <c r="Q291" t="s">
        <v>74</v>
      </c>
      <c r="R291" t="s">
        <v>74</v>
      </c>
      <c r="S291" t="s">
        <v>74</v>
      </c>
      <c r="T291" t="s">
        <v>4858</v>
      </c>
      <c r="U291" t="s">
        <v>74</v>
      </c>
      <c r="V291" t="s">
        <v>4859</v>
      </c>
      <c r="W291" s="1" t="s">
        <v>4860</v>
      </c>
      <c r="X291" t="s">
        <v>4861</v>
      </c>
      <c r="Y291" t="s">
        <v>4862</v>
      </c>
      <c r="Z291" t="s">
        <v>4863</v>
      </c>
      <c r="AA291" t="s">
        <v>74</v>
      </c>
      <c r="AB291" t="s">
        <v>4864</v>
      </c>
      <c r="AC291" t="s">
        <v>74</v>
      </c>
      <c r="AD291" t="s">
        <v>74</v>
      </c>
      <c r="AE291" t="s">
        <v>74</v>
      </c>
      <c r="AF291" t="s">
        <v>4865</v>
      </c>
      <c r="AG291">
        <v>38</v>
      </c>
      <c r="AH291">
        <v>0</v>
      </c>
      <c r="AI291">
        <v>0</v>
      </c>
      <c r="AJ291">
        <v>1</v>
      </c>
      <c r="AK291">
        <v>1</v>
      </c>
      <c r="AL291" t="s">
        <v>1930</v>
      </c>
      <c r="AM291" t="s">
        <v>1931</v>
      </c>
      <c r="AN291" t="s">
        <v>1932</v>
      </c>
      <c r="AO291" t="s">
        <v>2333</v>
      </c>
      <c r="AP291" t="s">
        <v>2334</v>
      </c>
      <c r="AQ291" t="s">
        <v>74</v>
      </c>
      <c r="AR291" t="s">
        <v>2335</v>
      </c>
      <c r="AS291" t="s">
        <v>2336</v>
      </c>
      <c r="AT291" t="s">
        <v>74</v>
      </c>
      <c r="AU291">
        <v>2022</v>
      </c>
      <c r="AV291">
        <v>13</v>
      </c>
      <c r="AW291">
        <v>35</v>
      </c>
      <c r="AX291" t="s">
        <v>74</v>
      </c>
      <c r="AY291" t="s">
        <v>74</v>
      </c>
      <c r="AZ291" t="s">
        <v>74</v>
      </c>
      <c r="BA291" t="s">
        <v>74</v>
      </c>
      <c r="BB291" t="s">
        <v>74</v>
      </c>
      <c r="BC291" t="s">
        <v>74</v>
      </c>
      <c r="BD291" t="s">
        <v>4866</v>
      </c>
      <c r="BE291" t="s">
        <v>4867</v>
      </c>
      <c r="BF291" t="str">
        <f>HYPERLINK("http://dx.doi.org/10.19053/22160159.v13.n35.2022.14152","http://dx.doi.org/10.19053/22160159.v13.n35.2022.14152")</f>
        <v>http://dx.doi.org/10.19053/22160159.v13.n35.2022.14152</v>
      </c>
      <c r="BG291" t="s">
        <v>74</v>
      </c>
      <c r="BH291" t="s">
        <v>74</v>
      </c>
      <c r="BI291">
        <v>16</v>
      </c>
      <c r="BJ291" t="s">
        <v>963</v>
      </c>
      <c r="BK291" t="s">
        <v>187</v>
      </c>
      <c r="BL291" t="s">
        <v>963</v>
      </c>
      <c r="BM291" t="s">
        <v>2719</v>
      </c>
      <c r="BN291" t="s">
        <v>74</v>
      </c>
      <c r="BO291" t="s">
        <v>190</v>
      </c>
      <c r="BP291" t="s">
        <v>74</v>
      </c>
      <c r="BQ291" t="s">
        <v>74</v>
      </c>
      <c r="BR291" t="s">
        <v>105</v>
      </c>
      <c r="BS291" t="s">
        <v>4868</v>
      </c>
      <c r="BT291" t="str">
        <f>HYPERLINK("https%3A%2F%2Fwww.webofscience.com%2Fwos%2Fwoscc%2Ffull-record%2FWOS:000986286800010","View Full Record in Web of Science")</f>
        <v>View Full Record in Web of Science</v>
      </c>
    </row>
    <row r="292" spans="1:72" x14ac:dyDescent="0.2">
      <c r="A292" t="s">
        <v>72</v>
      </c>
      <c r="B292" t="s">
        <v>4338</v>
      </c>
      <c r="C292" t="s">
        <v>74</v>
      </c>
      <c r="D292" t="s">
        <v>74</v>
      </c>
      <c r="E292" t="s">
        <v>74</v>
      </c>
      <c r="F292" t="s">
        <v>4339</v>
      </c>
      <c r="G292" t="s">
        <v>74</v>
      </c>
      <c r="H292" t="s">
        <v>74</v>
      </c>
      <c r="I292" t="s">
        <v>4340</v>
      </c>
      <c r="J292" t="s">
        <v>4341</v>
      </c>
      <c r="K292" t="s">
        <v>74</v>
      </c>
      <c r="L292" t="s">
        <v>74</v>
      </c>
      <c r="M292" t="s">
        <v>78</v>
      </c>
      <c r="N292" t="s">
        <v>79</v>
      </c>
      <c r="O292" t="s">
        <v>74</v>
      </c>
      <c r="P292" t="s">
        <v>74</v>
      </c>
      <c r="Q292" t="s">
        <v>74</v>
      </c>
      <c r="R292" t="s">
        <v>74</v>
      </c>
      <c r="S292" t="s">
        <v>74</v>
      </c>
      <c r="T292" t="s">
        <v>4342</v>
      </c>
      <c r="U292" t="s">
        <v>4343</v>
      </c>
      <c r="V292" t="s">
        <v>4344</v>
      </c>
      <c r="W292" s="1" t="s">
        <v>4345</v>
      </c>
      <c r="X292" t="s">
        <v>142</v>
      </c>
      <c r="Y292" t="s">
        <v>4346</v>
      </c>
      <c r="Z292" t="s">
        <v>4347</v>
      </c>
      <c r="AA292" t="s">
        <v>74</v>
      </c>
      <c r="AB292" t="s">
        <v>4348</v>
      </c>
      <c r="AC292" t="s">
        <v>74</v>
      </c>
      <c r="AD292" t="s">
        <v>74</v>
      </c>
      <c r="AE292" t="s">
        <v>74</v>
      </c>
      <c r="AF292" t="s">
        <v>4349</v>
      </c>
      <c r="AG292">
        <v>12</v>
      </c>
      <c r="AH292">
        <v>0</v>
      </c>
      <c r="AI292">
        <v>0</v>
      </c>
      <c r="AJ292">
        <v>0</v>
      </c>
      <c r="AK292">
        <v>2</v>
      </c>
      <c r="AL292" t="s">
        <v>1930</v>
      </c>
      <c r="AM292" t="s">
        <v>1931</v>
      </c>
      <c r="AN292" t="s">
        <v>1932</v>
      </c>
      <c r="AO292" t="s">
        <v>4350</v>
      </c>
      <c r="AP292" t="s">
        <v>4351</v>
      </c>
      <c r="AQ292" t="s">
        <v>74</v>
      </c>
      <c r="AR292" t="s">
        <v>4352</v>
      </c>
      <c r="AS292" t="s">
        <v>4353</v>
      </c>
      <c r="AT292" t="s">
        <v>4354</v>
      </c>
      <c r="AU292">
        <v>2022</v>
      </c>
      <c r="AV292">
        <v>31</v>
      </c>
      <c r="AW292">
        <v>59</v>
      </c>
      <c r="AX292" t="s">
        <v>74</v>
      </c>
      <c r="AY292" t="s">
        <v>74</v>
      </c>
      <c r="AZ292" t="s">
        <v>74</v>
      </c>
      <c r="BA292" t="s">
        <v>74</v>
      </c>
      <c r="BB292" t="s">
        <v>74</v>
      </c>
      <c r="BC292" t="s">
        <v>74</v>
      </c>
      <c r="BD292" t="s">
        <v>4355</v>
      </c>
      <c r="BE292" t="s">
        <v>4356</v>
      </c>
      <c r="BF292" t="str">
        <f>HYPERLINK("http://dx.doi.org/10.19053/01211129.v31.n59.2022.14136","http://dx.doi.org/10.19053/01211129.v31.n59.2022.14136")</f>
        <v>http://dx.doi.org/10.19053/01211129.v31.n59.2022.14136</v>
      </c>
      <c r="BG292" t="s">
        <v>74</v>
      </c>
      <c r="BH292" t="s">
        <v>74</v>
      </c>
      <c r="BI292">
        <v>24</v>
      </c>
      <c r="BJ292" t="s">
        <v>323</v>
      </c>
      <c r="BK292" t="s">
        <v>187</v>
      </c>
      <c r="BL292" t="s">
        <v>324</v>
      </c>
      <c r="BM292" t="s">
        <v>4357</v>
      </c>
      <c r="BN292" t="s">
        <v>74</v>
      </c>
      <c r="BO292" t="s">
        <v>419</v>
      </c>
      <c r="BP292" t="s">
        <v>74</v>
      </c>
      <c r="BQ292" t="s">
        <v>74</v>
      </c>
      <c r="BR292" t="s">
        <v>105</v>
      </c>
      <c r="BS292" t="s">
        <v>4358</v>
      </c>
      <c r="BT292" t="str">
        <f>HYPERLINK("https%3A%2F%2Fwww.webofscience.com%2Fwos%2Fwoscc%2Ffull-record%2FWOS:000771913900001","View Full Record in Web of Science")</f>
        <v>View Full Record in Web of Science</v>
      </c>
    </row>
    <row r="293" spans="1:72" x14ac:dyDescent="0.2">
      <c r="A293" t="s">
        <v>72</v>
      </c>
      <c r="B293" t="s">
        <v>4091</v>
      </c>
      <c r="C293" t="s">
        <v>74</v>
      </c>
      <c r="D293" t="s">
        <v>74</v>
      </c>
      <c r="E293" t="s">
        <v>74</v>
      </c>
      <c r="F293" t="s">
        <v>4092</v>
      </c>
      <c r="G293" t="s">
        <v>74</v>
      </c>
      <c r="H293" t="s">
        <v>74</v>
      </c>
      <c r="I293" t="s">
        <v>4093</v>
      </c>
      <c r="J293" t="s">
        <v>4094</v>
      </c>
      <c r="K293" t="s">
        <v>74</v>
      </c>
      <c r="L293" t="s">
        <v>74</v>
      </c>
      <c r="M293" t="s">
        <v>1517</v>
      </c>
      <c r="N293" t="s">
        <v>2006</v>
      </c>
      <c r="O293" t="s">
        <v>74</v>
      </c>
      <c r="P293" t="s">
        <v>74</v>
      </c>
      <c r="Q293" t="s">
        <v>74</v>
      </c>
      <c r="R293" t="s">
        <v>74</v>
      </c>
      <c r="S293" t="s">
        <v>74</v>
      </c>
      <c r="T293" t="s">
        <v>74</v>
      </c>
      <c r="U293" t="s">
        <v>74</v>
      </c>
      <c r="V293" t="s">
        <v>74</v>
      </c>
      <c r="W293" s="1" t="s">
        <v>4095</v>
      </c>
      <c r="X293" t="s">
        <v>84</v>
      </c>
      <c r="Y293" t="s">
        <v>4096</v>
      </c>
      <c r="Z293" t="s">
        <v>4097</v>
      </c>
      <c r="AA293" t="s">
        <v>74</v>
      </c>
      <c r="AB293" t="s">
        <v>74</v>
      </c>
      <c r="AC293" t="s">
        <v>74</v>
      </c>
      <c r="AD293" t="s">
        <v>74</v>
      </c>
      <c r="AE293" t="s">
        <v>74</v>
      </c>
      <c r="AF293" t="s">
        <v>4098</v>
      </c>
      <c r="AG293">
        <v>10</v>
      </c>
      <c r="AH293">
        <v>0</v>
      </c>
      <c r="AI293">
        <v>0</v>
      </c>
      <c r="AJ293">
        <v>0</v>
      </c>
      <c r="AK293">
        <v>0</v>
      </c>
      <c r="AL293" t="s">
        <v>263</v>
      </c>
      <c r="AM293" t="s">
        <v>264</v>
      </c>
      <c r="AN293" t="s">
        <v>265</v>
      </c>
      <c r="AO293" t="s">
        <v>4099</v>
      </c>
      <c r="AP293" t="s">
        <v>4100</v>
      </c>
      <c r="AQ293" t="s">
        <v>74</v>
      </c>
      <c r="AR293" t="s">
        <v>4101</v>
      </c>
      <c r="AS293" t="s">
        <v>4102</v>
      </c>
      <c r="AT293" t="s">
        <v>1753</v>
      </c>
      <c r="AU293">
        <v>2022</v>
      </c>
      <c r="AV293">
        <v>48</v>
      </c>
      <c r="AW293">
        <v>7</v>
      </c>
      <c r="AX293" t="s">
        <v>74</v>
      </c>
      <c r="AY293" t="s">
        <v>74</v>
      </c>
      <c r="AZ293" t="s">
        <v>74</v>
      </c>
      <c r="BA293" t="s">
        <v>74</v>
      </c>
      <c r="BB293" t="s">
        <v>74</v>
      </c>
      <c r="BC293" t="s">
        <v>74</v>
      </c>
      <c r="BD293">
        <v>101826</v>
      </c>
      <c r="BE293" t="s">
        <v>4103</v>
      </c>
      <c r="BF293" t="str">
        <f>HYPERLINK("http://dx.doi.org/10.1016/j.semerg.2022.101826","http://dx.doi.org/10.1016/j.semerg.2022.101826")</f>
        <v>http://dx.doi.org/10.1016/j.semerg.2022.101826</v>
      </c>
      <c r="BG293" t="s">
        <v>74</v>
      </c>
      <c r="BH293" t="s">
        <v>74</v>
      </c>
      <c r="BI293">
        <v>3</v>
      </c>
      <c r="BJ293" t="s">
        <v>4104</v>
      </c>
      <c r="BK293" t="s">
        <v>187</v>
      </c>
      <c r="BL293" t="s">
        <v>3959</v>
      </c>
      <c r="BM293" t="s">
        <v>4105</v>
      </c>
      <c r="BN293">
        <v>36116354</v>
      </c>
      <c r="BO293" t="s">
        <v>74</v>
      </c>
      <c r="BP293" t="s">
        <v>74</v>
      </c>
      <c r="BQ293" t="s">
        <v>74</v>
      </c>
      <c r="BR293" t="s">
        <v>105</v>
      </c>
      <c r="BS293" t="s">
        <v>4106</v>
      </c>
      <c r="BT293" t="str">
        <f>HYPERLINK("https%3A%2F%2Fwww.webofscience.com%2Fwos%2Fwoscc%2Ffull-record%2FWOS:000871056900006","View Full Record in Web of Science")</f>
        <v>View Full Record in Web of Science</v>
      </c>
    </row>
    <row r="294" spans="1:72" x14ac:dyDescent="0.2">
      <c r="A294" t="s">
        <v>72</v>
      </c>
      <c r="B294" t="s">
        <v>3872</v>
      </c>
      <c r="C294" t="s">
        <v>74</v>
      </c>
      <c r="D294" t="s">
        <v>74</v>
      </c>
      <c r="E294" t="s">
        <v>74</v>
      </c>
      <c r="F294" t="s">
        <v>3873</v>
      </c>
      <c r="G294" t="s">
        <v>74</v>
      </c>
      <c r="H294" t="s">
        <v>74</v>
      </c>
      <c r="I294" t="s">
        <v>3874</v>
      </c>
      <c r="J294" t="s">
        <v>3875</v>
      </c>
      <c r="K294" t="s">
        <v>74</v>
      </c>
      <c r="L294" t="s">
        <v>74</v>
      </c>
      <c r="M294" t="s">
        <v>78</v>
      </c>
      <c r="N294" t="s">
        <v>79</v>
      </c>
      <c r="O294" t="s">
        <v>74</v>
      </c>
      <c r="P294" t="s">
        <v>74</v>
      </c>
      <c r="Q294" t="s">
        <v>74</v>
      </c>
      <c r="R294" t="s">
        <v>74</v>
      </c>
      <c r="S294" t="s">
        <v>74</v>
      </c>
      <c r="T294" t="s">
        <v>74</v>
      </c>
      <c r="U294" t="s">
        <v>3876</v>
      </c>
      <c r="V294" t="s">
        <v>3877</v>
      </c>
      <c r="W294" s="1" t="s">
        <v>3878</v>
      </c>
      <c r="X294" t="s">
        <v>3879</v>
      </c>
      <c r="Y294" t="s">
        <v>3880</v>
      </c>
      <c r="Z294" t="s">
        <v>3881</v>
      </c>
      <c r="AA294" t="s">
        <v>74</v>
      </c>
      <c r="AB294" t="s">
        <v>3882</v>
      </c>
      <c r="AC294" t="s">
        <v>3883</v>
      </c>
      <c r="AD294" t="s">
        <v>3883</v>
      </c>
      <c r="AE294" t="s">
        <v>3884</v>
      </c>
      <c r="AF294" t="s">
        <v>3885</v>
      </c>
      <c r="AG294">
        <v>36</v>
      </c>
      <c r="AH294">
        <v>1</v>
      </c>
      <c r="AI294">
        <v>1</v>
      </c>
      <c r="AJ294">
        <v>0</v>
      </c>
      <c r="AK294">
        <v>0</v>
      </c>
      <c r="AL294" t="s">
        <v>3886</v>
      </c>
      <c r="AM294" t="s">
        <v>3887</v>
      </c>
      <c r="AN294" t="s">
        <v>3888</v>
      </c>
      <c r="AO294" t="s">
        <v>3889</v>
      </c>
      <c r="AP294" t="s">
        <v>74</v>
      </c>
      <c r="AQ294" t="s">
        <v>74</v>
      </c>
      <c r="AR294" t="s">
        <v>3890</v>
      </c>
      <c r="AS294" t="s">
        <v>3891</v>
      </c>
      <c r="AT294" t="s">
        <v>3892</v>
      </c>
      <c r="AU294">
        <v>2022</v>
      </c>
      <c r="AV294">
        <v>2022</v>
      </c>
      <c r="AW294">
        <v>1</v>
      </c>
      <c r="AX294" t="s">
        <v>74</v>
      </c>
      <c r="AY294" t="s">
        <v>74</v>
      </c>
      <c r="AZ294" t="s">
        <v>74</v>
      </c>
      <c r="BA294" t="s">
        <v>74</v>
      </c>
      <c r="BB294" t="s">
        <v>74</v>
      </c>
      <c r="BC294" t="s">
        <v>74</v>
      </c>
      <c r="BD294" t="s">
        <v>3893</v>
      </c>
      <c r="BE294" t="s">
        <v>3894</v>
      </c>
      <c r="BF294" t="str">
        <f>HYPERLINK("http://dx.doi.org/10.1093/ptep/ptab139","http://dx.doi.org/10.1093/ptep/ptab139")</f>
        <v>http://dx.doi.org/10.1093/ptep/ptab139</v>
      </c>
      <c r="BG294" t="s">
        <v>74</v>
      </c>
      <c r="BH294" t="s">
        <v>74</v>
      </c>
      <c r="BI294">
        <v>13</v>
      </c>
      <c r="BJ294" t="s">
        <v>3895</v>
      </c>
      <c r="BK294" t="s">
        <v>102</v>
      </c>
      <c r="BL294" t="s">
        <v>905</v>
      </c>
      <c r="BM294" t="s">
        <v>3896</v>
      </c>
      <c r="BN294" t="s">
        <v>74</v>
      </c>
      <c r="BO294" t="s">
        <v>1111</v>
      </c>
      <c r="BP294" t="s">
        <v>74</v>
      </c>
      <c r="BQ294" t="s">
        <v>74</v>
      </c>
      <c r="BR294" t="s">
        <v>105</v>
      </c>
      <c r="BS294" t="s">
        <v>3897</v>
      </c>
      <c r="BT294" t="str">
        <f>HYPERLINK("https%3A%2F%2Fwww.webofscience.com%2Fwos%2Fwoscc%2Ffull-record%2FWOS:000753583700003","View Full Record in Web of Science")</f>
        <v>View Full Record in Web of Science</v>
      </c>
    </row>
    <row r="295" spans="1:72" x14ac:dyDescent="0.2">
      <c r="A295" t="s">
        <v>72</v>
      </c>
      <c r="B295" t="s">
        <v>2707</v>
      </c>
      <c r="C295" t="s">
        <v>74</v>
      </c>
      <c r="D295" t="s">
        <v>74</v>
      </c>
      <c r="E295" t="s">
        <v>74</v>
      </c>
      <c r="F295" t="s">
        <v>2708</v>
      </c>
      <c r="G295" t="s">
        <v>74</v>
      </c>
      <c r="H295" t="s">
        <v>74</v>
      </c>
      <c r="I295" t="s">
        <v>2709</v>
      </c>
      <c r="J295" t="s">
        <v>2326</v>
      </c>
      <c r="K295" t="s">
        <v>74</v>
      </c>
      <c r="L295" t="s">
        <v>74</v>
      </c>
      <c r="M295" t="s">
        <v>78</v>
      </c>
      <c r="N295" t="s">
        <v>79</v>
      </c>
      <c r="O295" t="s">
        <v>74</v>
      </c>
      <c r="P295" t="s">
        <v>74</v>
      </c>
      <c r="Q295" t="s">
        <v>74</v>
      </c>
      <c r="R295" t="s">
        <v>74</v>
      </c>
      <c r="S295" t="s">
        <v>74</v>
      </c>
      <c r="T295" t="s">
        <v>2710</v>
      </c>
      <c r="U295" t="s">
        <v>2711</v>
      </c>
      <c r="V295" t="s">
        <v>2712</v>
      </c>
      <c r="W295" s="1" t="s">
        <v>2713</v>
      </c>
      <c r="X295" t="s">
        <v>84</v>
      </c>
      <c r="Y295" t="s">
        <v>2714</v>
      </c>
      <c r="Z295" t="s">
        <v>2715</v>
      </c>
      <c r="AA295" t="s">
        <v>74</v>
      </c>
      <c r="AB295" t="s">
        <v>74</v>
      </c>
      <c r="AC295" t="s">
        <v>74</v>
      </c>
      <c r="AD295" t="s">
        <v>74</v>
      </c>
      <c r="AE295" t="s">
        <v>74</v>
      </c>
      <c r="AF295" t="s">
        <v>2716</v>
      </c>
      <c r="AG295">
        <v>52</v>
      </c>
      <c r="AH295">
        <v>0</v>
      </c>
      <c r="AI295">
        <v>0</v>
      </c>
      <c r="AJ295">
        <v>0</v>
      </c>
      <c r="AK295">
        <v>0</v>
      </c>
      <c r="AL295" t="s">
        <v>1930</v>
      </c>
      <c r="AM295" t="s">
        <v>1931</v>
      </c>
      <c r="AN295" t="s">
        <v>1932</v>
      </c>
      <c r="AO295" t="s">
        <v>2333</v>
      </c>
      <c r="AP295" t="s">
        <v>2334</v>
      </c>
      <c r="AQ295" t="s">
        <v>74</v>
      </c>
      <c r="AR295" t="s">
        <v>2335</v>
      </c>
      <c r="AS295" t="s">
        <v>2336</v>
      </c>
      <c r="AT295" t="s">
        <v>74</v>
      </c>
      <c r="AU295">
        <v>2022</v>
      </c>
      <c r="AV295">
        <v>13</v>
      </c>
      <c r="AW295">
        <v>35</v>
      </c>
      <c r="AX295" t="s">
        <v>74</v>
      </c>
      <c r="AY295" t="s">
        <v>74</v>
      </c>
      <c r="AZ295" t="s">
        <v>74</v>
      </c>
      <c r="BA295" t="s">
        <v>74</v>
      </c>
      <c r="BB295" t="s">
        <v>74</v>
      </c>
      <c r="BC295" t="s">
        <v>74</v>
      </c>
      <c r="BD295" t="s">
        <v>2717</v>
      </c>
      <c r="BE295" t="s">
        <v>2718</v>
      </c>
      <c r="BF295" t="str">
        <f>HYPERLINK("http://dx.doi.org/10.19053/22160159.v13.n35.2022.14611","http://dx.doi.org/10.19053/22160159.v13.n35.2022.14611")</f>
        <v>http://dx.doi.org/10.19053/22160159.v13.n35.2022.14611</v>
      </c>
      <c r="BG295" t="s">
        <v>74</v>
      </c>
      <c r="BH295" t="s">
        <v>74</v>
      </c>
      <c r="BI295">
        <v>18</v>
      </c>
      <c r="BJ295" t="s">
        <v>963</v>
      </c>
      <c r="BK295" t="s">
        <v>187</v>
      </c>
      <c r="BL295" t="s">
        <v>963</v>
      </c>
      <c r="BM295" t="s">
        <v>2719</v>
      </c>
      <c r="BN295" t="s">
        <v>74</v>
      </c>
      <c r="BO295" t="s">
        <v>190</v>
      </c>
      <c r="BP295" t="s">
        <v>74</v>
      </c>
      <c r="BQ295" t="s">
        <v>74</v>
      </c>
      <c r="BR295" t="s">
        <v>105</v>
      </c>
      <c r="BS295" t="s">
        <v>2720</v>
      </c>
      <c r="BT295" t="str">
        <f>HYPERLINK("https%3A%2F%2Fwww.webofscience.com%2Fwos%2Fwoscc%2Ffull-record%2FWOS:000986286800007","View Full Record in Web of Science")</f>
        <v>View Full Record in Web of Science</v>
      </c>
    </row>
    <row r="296" spans="1:72" x14ac:dyDescent="0.2">
      <c r="A296" t="s">
        <v>72</v>
      </c>
      <c r="B296" t="s">
        <v>3320</v>
      </c>
      <c r="C296" t="s">
        <v>74</v>
      </c>
      <c r="D296" t="s">
        <v>74</v>
      </c>
      <c r="E296" t="s">
        <v>74</v>
      </c>
      <c r="F296" t="s">
        <v>3321</v>
      </c>
      <c r="G296" t="s">
        <v>74</v>
      </c>
      <c r="H296" t="s">
        <v>74</v>
      </c>
      <c r="I296" t="s">
        <v>3322</v>
      </c>
      <c r="J296" t="s">
        <v>3323</v>
      </c>
      <c r="K296" t="s">
        <v>74</v>
      </c>
      <c r="L296" t="s">
        <v>74</v>
      </c>
      <c r="M296" t="s">
        <v>78</v>
      </c>
      <c r="N296" t="s">
        <v>3324</v>
      </c>
      <c r="O296" t="s">
        <v>74</v>
      </c>
      <c r="P296" t="s">
        <v>74</v>
      </c>
      <c r="Q296" t="s">
        <v>74</v>
      </c>
      <c r="R296" t="s">
        <v>74</v>
      </c>
      <c r="S296" t="s">
        <v>74</v>
      </c>
      <c r="T296" t="s">
        <v>3325</v>
      </c>
      <c r="U296" t="s">
        <v>3326</v>
      </c>
      <c r="V296" t="s">
        <v>3327</v>
      </c>
      <c r="W296" s="1" t="s">
        <v>3328</v>
      </c>
      <c r="X296" t="s">
        <v>3329</v>
      </c>
      <c r="Y296" t="s">
        <v>3330</v>
      </c>
      <c r="Z296" t="s">
        <v>3331</v>
      </c>
      <c r="AA296" t="s">
        <v>3332</v>
      </c>
      <c r="AB296" t="s">
        <v>3333</v>
      </c>
      <c r="AC296" t="s">
        <v>3334</v>
      </c>
      <c r="AD296" t="s">
        <v>3335</v>
      </c>
      <c r="AE296" t="s">
        <v>3336</v>
      </c>
      <c r="AF296" t="s">
        <v>3337</v>
      </c>
      <c r="AG296">
        <v>86</v>
      </c>
      <c r="AH296">
        <v>0</v>
      </c>
      <c r="AI296">
        <v>0</v>
      </c>
      <c r="AJ296">
        <v>10</v>
      </c>
      <c r="AK296">
        <v>16</v>
      </c>
      <c r="AL296" t="s">
        <v>3338</v>
      </c>
      <c r="AM296" t="s">
        <v>728</v>
      </c>
      <c r="AN296" t="s">
        <v>3339</v>
      </c>
      <c r="AO296" t="s">
        <v>3340</v>
      </c>
      <c r="AP296" t="s">
        <v>3341</v>
      </c>
      <c r="AQ296" t="s">
        <v>74</v>
      </c>
      <c r="AR296" t="s">
        <v>3342</v>
      </c>
      <c r="AS296" t="s">
        <v>3343</v>
      </c>
      <c r="AT296" t="s">
        <v>3344</v>
      </c>
      <c r="AU296">
        <v>2022</v>
      </c>
      <c r="AV296" t="s">
        <v>74</v>
      </c>
      <c r="AW296" t="s">
        <v>74</v>
      </c>
      <c r="AX296" t="s">
        <v>74</v>
      </c>
      <c r="AY296" t="s">
        <v>74</v>
      </c>
      <c r="AZ296" t="s">
        <v>74</v>
      </c>
      <c r="BA296" t="s">
        <v>74</v>
      </c>
      <c r="BB296" t="s">
        <v>74</v>
      </c>
      <c r="BC296" t="s">
        <v>74</v>
      </c>
      <c r="BD296" t="s">
        <v>74</v>
      </c>
      <c r="BE296" t="s">
        <v>3345</v>
      </c>
      <c r="BF296" t="str">
        <f>HYPERLINK("http://dx.doi.org/10.1080/02508281.2022.2072653","http://dx.doi.org/10.1080/02508281.2022.2072653")</f>
        <v>http://dx.doi.org/10.1080/02508281.2022.2072653</v>
      </c>
      <c r="BG296" t="s">
        <v>74</v>
      </c>
      <c r="BH296" t="s">
        <v>626</v>
      </c>
      <c r="BI296">
        <v>17</v>
      </c>
      <c r="BJ296" t="s">
        <v>1959</v>
      </c>
      <c r="BK296" t="s">
        <v>187</v>
      </c>
      <c r="BL296" t="s">
        <v>1960</v>
      </c>
      <c r="BM296" t="s">
        <v>3346</v>
      </c>
      <c r="BN296" t="s">
        <v>74</v>
      </c>
      <c r="BO296" t="s">
        <v>74</v>
      </c>
      <c r="BP296" t="s">
        <v>74</v>
      </c>
      <c r="BQ296" t="s">
        <v>74</v>
      </c>
      <c r="BR296" t="s">
        <v>105</v>
      </c>
      <c r="BS296" t="s">
        <v>3347</v>
      </c>
      <c r="BT296" t="str">
        <f>HYPERLINK("https%3A%2F%2Fwww.webofscience.com%2Fwos%2Fwoscc%2Ffull-record%2FWOS:000815399000001","View Full Record in Web of Science")</f>
        <v>View Full Record in Web of Science</v>
      </c>
    </row>
    <row r="297" spans="1:72" x14ac:dyDescent="0.2">
      <c r="A297" t="s">
        <v>72</v>
      </c>
      <c r="B297" t="s">
        <v>2536</v>
      </c>
      <c r="C297" t="s">
        <v>74</v>
      </c>
      <c r="D297" t="s">
        <v>74</v>
      </c>
      <c r="E297" t="s">
        <v>74</v>
      </c>
      <c r="F297" t="s">
        <v>2537</v>
      </c>
      <c r="G297" t="s">
        <v>74</v>
      </c>
      <c r="H297" t="s">
        <v>74</v>
      </c>
      <c r="I297" t="s">
        <v>2538</v>
      </c>
      <c r="J297" t="s">
        <v>2539</v>
      </c>
      <c r="K297" t="s">
        <v>74</v>
      </c>
      <c r="L297" t="s">
        <v>74</v>
      </c>
      <c r="M297" t="s">
        <v>2540</v>
      </c>
      <c r="N297" t="s">
        <v>79</v>
      </c>
      <c r="O297" t="s">
        <v>74</v>
      </c>
      <c r="P297" t="s">
        <v>74</v>
      </c>
      <c r="Q297" t="s">
        <v>74</v>
      </c>
      <c r="R297" t="s">
        <v>74</v>
      </c>
      <c r="S297" t="s">
        <v>74</v>
      </c>
      <c r="T297" t="s">
        <v>2541</v>
      </c>
      <c r="U297" t="s">
        <v>74</v>
      </c>
      <c r="V297" t="s">
        <v>2542</v>
      </c>
      <c r="W297" s="1" t="s">
        <v>2543</v>
      </c>
      <c r="X297" t="s">
        <v>84</v>
      </c>
      <c r="Y297" t="s">
        <v>2544</v>
      </c>
      <c r="Z297" t="s">
        <v>2545</v>
      </c>
      <c r="AA297" t="s">
        <v>74</v>
      </c>
      <c r="AB297" t="s">
        <v>74</v>
      </c>
      <c r="AC297" t="s">
        <v>74</v>
      </c>
      <c r="AD297" t="s">
        <v>74</v>
      </c>
      <c r="AE297" t="s">
        <v>74</v>
      </c>
      <c r="AF297" t="s">
        <v>2546</v>
      </c>
      <c r="AG297">
        <v>92</v>
      </c>
      <c r="AH297">
        <v>0</v>
      </c>
      <c r="AI297">
        <v>0</v>
      </c>
      <c r="AJ297">
        <v>0</v>
      </c>
      <c r="AK297">
        <v>0</v>
      </c>
      <c r="AL297" t="s">
        <v>2547</v>
      </c>
      <c r="AM297" t="s">
        <v>1632</v>
      </c>
      <c r="AN297" t="s">
        <v>2548</v>
      </c>
      <c r="AO297" t="s">
        <v>2549</v>
      </c>
      <c r="AP297" t="s">
        <v>2550</v>
      </c>
      <c r="AQ297" t="s">
        <v>74</v>
      </c>
      <c r="AR297" t="s">
        <v>2551</v>
      </c>
      <c r="AS297" t="s">
        <v>2552</v>
      </c>
      <c r="AT297" t="s">
        <v>1527</v>
      </c>
      <c r="AU297">
        <v>2022</v>
      </c>
      <c r="AV297">
        <v>17</v>
      </c>
      <c r="AW297">
        <v>40</v>
      </c>
      <c r="AX297" t="s">
        <v>74</v>
      </c>
      <c r="AY297" t="s">
        <v>74</v>
      </c>
      <c r="AZ297" t="s">
        <v>74</v>
      </c>
      <c r="BA297" t="s">
        <v>74</v>
      </c>
      <c r="BB297">
        <v>251</v>
      </c>
      <c r="BC297">
        <v>280</v>
      </c>
      <c r="BD297" t="s">
        <v>74</v>
      </c>
      <c r="BE297" t="s">
        <v>2553</v>
      </c>
      <c r="BF297" t="str">
        <f>HYPERLINK("http://dx.doi.org/10.15648/hc.40.2022.3208","http://dx.doi.org/10.15648/hc.40.2022.3208")</f>
        <v>http://dx.doi.org/10.15648/hc.40.2022.3208</v>
      </c>
      <c r="BG297" t="s">
        <v>74</v>
      </c>
      <c r="BH297" t="s">
        <v>74</v>
      </c>
      <c r="BI297">
        <v>30</v>
      </c>
      <c r="BJ297" t="s">
        <v>2109</v>
      </c>
      <c r="BK297" t="s">
        <v>187</v>
      </c>
      <c r="BL297" t="s">
        <v>2109</v>
      </c>
      <c r="BM297" t="s">
        <v>2554</v>
      </c>
      <c r="BN297" t="s">
        <v>74</v>
      </c>
      <c r="BO297" t="s">
        <v>1111</v>
      </c>
      <c r="BP297" t="s">
        <v>74</v>
      </c>
      <c r="BQ297" t="s">
        <v>74</v>
      </c>
      <c r="BR297" t="s">
        <v>105</v>
      </c>
      <c r="BS297" t="s">
        <v>2555</v>
      </c>
      <c r="BT297" t="str">
        <f>HYPERLINK("https%3A%2F%2Fwww.webofscience.com%2Fwos%2Fwoscc%2Ffull-record%2FWOS:000807510600010","View Full Record in Web of Science")</f>
        <v>View Full Record in Web of Science</v>
      </c>
    </row>
    <row r="298" spans="1:72" x14ac:dyDescent="0.2">
      <c r="A298" t="s">
        <v>72</v>
      </c>
      <c r="B298" t="s">
        <v>4232</v>
      </c>
      <c r="C298" t="s">
        <v>74</v>
      </c>
      <c r="D298" t="s">
        <v>74</v>
      </c>
      <c r="E298" t="s">
        <v>74</v>
      </c>
      <c r="F298" t="s">
        <v>4233</v>
      </c>
      <c r="G298" t="s">
        <v>74</v>
      </c>
      <c r="H298" t="s">
        <v>74</v>
      </c>
      <c r="I298" t="s">
        <v>4234</v>
      </c>
      <c r="J298" t="s">
        <v>2169</v>
      </c>
      <c r="K298" t="s">
        <v>74</v>
      </c>
      <c r="L298" t="s">
        <v>74</v>
      </c>
      <c r="M298" t="s">
        <v>1517</v>
      </c>
      <c r="N298" t="s">
        <v>79</v>
      </c>
      <c r="O298" t="s">
        <v>74</v>
      </c>
      <c r="P298" t="s">
        <v>74</v>
      </c>
      <c r="Q298" t="s">
        <v>74</v>
      </c>
      <c r="R298" t="s">
        <v>74</v>
      </c>
      <c r="S298" t="s">
        <v>74</v>
      </c>
      <c r="T298" t="s">
        <v>4235</v>
      </c>
      <c r="U298" t="s">
        <v>74</v>
      </c>
      <c r="V298" t="s">
        <v>4236</v>
      </c>
      <c r="W298" s="1" t="s">
        <v>4237</v>
      </c>
      <c r="X298" t="s">
        <v>4238</v>
      </c>
      <c r="Y298" t="s">
        <v>4239</v>
      </c>
      <c r="Z298" t="s">
        <v>4240</v>
      </c>
      <c r="AA298" t="s">
        <v>74</v>
      </c>
      <c r="AB298" t="s">
        <v>74</v>
      </c>
      <c r="AC298" t="s">
        <v>74</v>
      </c>
      <c r="AD298" t="s">
        <v>74</v>
      </c>
      <c r="AE298" t="s">
        <v>74</v>
      </c>
      <c r="AF298" t="s">
        <v>4241</v>
      </c>
      <c r="AG298">
        <v>20</v>
      </c>
      <c r="AH298">
        <v>0</v>
      </c>
      <c r="AI298">
        <v>0</v>
      </c>
      <c r="AJ298">
        <v>0</v>
      </c>
      <c r="AK298">
        <v>0</v>
      </c>
      <c r="AL298" t="s">
        <v>1930</v>
      </c>
      <c r="AM298" t="s">
        <v>1931</v>
      </c>
      <c r="AN298" t="s">
        <v>1932</v>
      </c>
      <c r="AO298" t="s">
        <v>2176</v>
      </c>
      <c r="AP298" t="s">
        <v>2177</v>
      </c>
      <c r="AQ298" t="s">
        <v>74</v>
      </c>
      <c r="AR298" t="s">
        <v>2178</v>
      </c>
      <c r="AS298" t="s">
        <v>2179</v>
      </c>
      <c r="AT298" t="s">
        <v>74</v>
      </c>
      <c r="AU298">
        <v>2022</v>
      </c>
      <c r="AV298">
        <v>27</v>
      </c>
      <c r="AW298">
        <v>1</v>
      </c>
      <c r="AX298" t="s">
        <v>74</v>
      </c>
      <c r="AY298" t="s">
        <v>74</v>
      </c>
      <c r="AZ298" t="s">
        <v>74</v>
      </c>
      <c r="BA298" t="s">
        <v>74</v>
      </c>
      <c r="BB298" t="s">
        <v>74</v>
      </c>
      <c r="BC298" t="s">
        <v>74</v>
      </c>
      <c r="BD298" t="s">
        <v>74</v>
      </c>
      <c r="BE298" t="s">
        <v>4242</v>
      </c>
      <c r="BF298" t="str">
        <f>HYPERLINK("http://dx.doi.org/10.19053/01233769.11953","http://dx.doi.org/10.19053/01233769.11953")</f>
        <v>http://dx.doi.org/10.19053/01233769.11953</v>
      </c>
      <c r="BG298" t="s">
        <v>74</v>
      </c>
      <c r="BH298" t="s">
        <v>74</v>
      </c>
      <c r="BI298">
        <v>29</v>
      </c>
      <c r="BJ298" t="s">
        <v>1488</v>
      </c>
      <c r="BK298" t="s">
        <v>187</v>
      </c>
      <c r="BL298" t="s">
        <v>1488</v>
      </c>
      <c r="BM298" t="s">
        <v>3669</v>
      </c>
      <c r="BN298" t="s">
        <v>74</v>
      </c>
      <c r="BO298" t="s">
        <v>419</v>
      </c>
      <c r="BP298" t="s">
        <v>74</v>
      </c>
      <c r="BQ298" t="s">
        <v>74</v>
      </c>
      <c r="BR298" t="s">
        <v>105</v>
      </c>
      <c r="BS298" t="s">
        <v>4243</v>
      </c>
      <c r="BT298" t="str">
        <f>HYPERLINK("https%3A%2F%2Fwww.webofscience.com%2Fwos%2Fwoscc%2Ffull-record%2FWOS:000767237000003","View Full Record in Web of Science")</f>
        <v>View Full Record in Web of Science</v>
      </c>
    </row>
    <row r="299" spans="1:72" x14ac:dyDescent="0.2">
      <c r="A299" t="s">
        <v>72</v>
      </c>
      <c r="B299" t="s">
        <v>4744</v>
      </c>
      <c r="C299" t="s">
        <v>74</v>
      </c>
      <c r="D299" t="s">
        <v>74</v>
      </c>
      <c r="E299" t="s">
        <v>74</v>
      </c>
      <c r="F299" t="s">
        <v>4745</v>
      </c>
      <c r="G299" t="s">
        <v>74</v>
      </c>
      <c r="H299" t="s">
        <v>74</v>
      </c>
      <c r="I299" t="s">
        <v>4746</v>
      </c>
      <c r="J299" t="s">
        <v>4747</v>
      </c>
      <c r="K299" t="s">
        <v>74</v>
      </c>
      <c r="L299" t="s">
        <v>74</v>
      </c>
      <c r="M299" t="s">
        <v>78</v>
      </c>
      <c r="N299" t="s">
        <v>79</v>
      </c>
      <c r="O299" t="s">
        <v>74</v>
      </c>
      <c r="P299" t="s">
        <v>74</v>
      </c>
      <c r="Q299" t="s">
        <v>74</v>
      </c>
      <c r="R299" t="s">
        <v>74</v>
      </c>
      <c r="S299" t="s">
        <v>74</v>
      </c>
      <c r="T299" t="s">
        <v>4748</v>
      </c>
      <c r="U299" t="s">
        <v>74</v>
      </c>
      <c r="V299" t="s">
        <v>4749</v>
      </c>
      <c r="W299" s="1" t="s">
        <v>4750</v>
      </c>
      <c r="X299" t="s">
        <v>84</v>
      </c>
      <c r="Y299" t="s">
        <v>4751</v>
      </c>
      <c r="Z299" t="s">
        <v>4752</v>
      </c>
      <c r="AA299" t="s">
        <v>74</v>
      </c>
      <c r="AB299" t="s">
        <v>74</v>
      </c>
      <c r="AC299" t="s">
        <v>74</v>
      </c>
      <c r="AD299" t="s">
        <v>74</v>
      </c>
      <c r="AE299" t="s">
        <v>74</v>
      </c>
      <c r="AF299" t="s">
        <v>4753</v>
      </c>
      <c r="AG299">
        <v>14</v>
      </c>
      <c r="AH299">
        <v>0</v>
      </c>
      <c r="AI299">
        <v>0</v>
      </c>
      <c r="AJ299">
        <v>0</v>
      </c>
      <c r="AK299">
        <v>0</v>
      </c>
      <c r="AL299" t="s">
        <v>4754</v>
      </c>
      <c r="AM299" t="s">
        <v>823</v>
      </c>
      <c r="AN299" t="s">
        <v>4755</v>
      </c>
      <c r="AO299" t="s">
        <v>4756</v>
      </c>
      <c r="AP299" t="s">
        <v>4757</v>
      </c>
      <c r="AQ299" t="s">
        <v>74</v>
      </c>
      <c r="AR299" t="s">
        <v>4758</v>
      </c>
      <c r="AS299" t="s">
        <v>4759</v>
      </c>
      <c r="AT299" t="s">
        <v>74</v>
      </c>
      <c r="AU299">
        <v>2022</v>
      </c>
      <c r="AV299">
        <v>45</v>
      </c>
      <c r="AW299">
        <v>10</v>
      </c>
      <c r="AX299" t="s">
        <v>74</v>
      </c>
      <c r="AY299" t="s">
        <v>74</v>
      </c>
      <c r="AZ299" t="s">
        <v>74</v>
      </c>
      <c r="BA299" t="s">
        <v>74</v>
      </c>
      <c r="BB299">
        <v>1289</v>
      </c>
      <c r="BC299">
        <v>1295</v>
      </c>
      <c r="BD299" t="s">
        <v>74</v>
      </c>
      <c r="BE299" t="s">
        <v>4760</v>
      </c>
      <c r="BF299" t="str">
        <f>HYPERLINK("http://dx.doi.org/10.21577/0100-4042.20170940","http://dx.doi.org/10.21577/0100-4042.20170940")</f>
        <v>http://dx.doi.org/10.21577/0100-4042.20170940</v>
      </c>
      <c r="BG299" t="s">
        <v>74</v>
      </c>
      <c r="BH299" t="s">
        <v>1137</v>
      </c>
      <c r="BI299">
        <v>7</v>
      </c>
      <c r="BJ299" t="s">
        <v>215</v>
      </c>
      <c r="BK299" t="s">
        <v>102</v>
      </c>
      <c r="BL299" t="s">
        <v>216</v>
      </c>
      <c r="BM299" t="s">
        <v>4761</v>
      </c>
      <c r="BN299" t="s">
        <v>74</v>
      </c>
      <c r="BO299" t="s">
        <v>190</v>
      </c>
      <c r="BP299" t="s">
        <v>74</v>
      </c>
      <c r="BQ299" t="s">
        <v>74</v>
      </c>
      <c r="BR299" t="s">
        <v>105</v>
      </c>
      <c r="BS299" t="s">
        <v>4762</v>
      </c>
      <c r="BT299" t="str">
        <f>HYPERLINK("https%3A%2F%2Fwww.webofscience.com%2Fwos%2Fwoscc%2Ffull-record%2FWOS:000855204400001","View Full Record in Web of Science")</f>
        <v>View Full Record in Web of Science</v>
      </c>
    </row>
    <row r="300" spans="1:72" x14ac:dyDescent="0.2">
      <c r="A300" t="s">
        <v>72</v>
      </c>
      <c r="B300" t="s">
        <v>3489</v>
      </c>
      <c r="C300" t="s">
        <v>74</v>
      </c>
      <c r="D300" t="s">
        <v>74</v>
      </c>
      <c r="E300" t="s">
        <v>74</v>
      </c>
      <c r="F300" t="s">
        <v>3490</v>
      </c>
      <c r="G300" t="s">
        <v>74</v>
      </c>
      <c r="H300" t="s">
        <v>74</v>
      </c>
      <c r="I300" t="s">
        <v>3491</v>
      </c>
      <c r="J300" t="s">
        <v>1984</v>
      </c>
      <c r="K300" t="s">
        <v>74</v>
      </c>
      <c r="L300" t="s">
        <v>74</v>
      </c>
      <c r="M300" t="s">
        <v>78</v>
      </c>
      <c r="N300" t="s">
        <v>79</v>
      </c>
      <c r="O300" t="s">
        <v>74</v>
      </c>
      <c r="P300" t="s">
        <v>74</v>
      </c>
      <c r="Q300" t="s">
        <v>74</v>
      </c>
      <c r="R300" t="s">
        <v>74</v>
      </c>
      <c r="S300" t="s">
        <v>74</v>
      </c>
      <c r="T300" t="s">
        <v>3492</v>
      </c>
      <c r="U300" t="s">
        <v>74</v>
      </c>
      <c r="V300" t="s">
        <v>3493</v>
      </c>
      <c r="W300" s="1" t="s">
        <v>3494</v>
      </c>
      <c r="X300" t="s">
        <v>946</v>
      </c>
      <c r="Y300" t="s">
        <v>3495</v>
      </c>
      <c r="Z300" t="s">
        <v>3496</v>
      </c>
      <c r="AA300" t="s">
        <v>74</v>
      </c>
      <c r="AB300" t="s">
        <v>74</v>
      </c>
      <c r="AC300" t="s">
        <v>74</v>
      </c>
      <c r="AD300" t="s">
        <v>74</v>
      </c>
      <c r="AE300" t="s">
        <v>74</v>
      </c>
      <c r="AF300" t="s">
        <v>74</v>
      </c>
      <c r="AG300">
        <v>0</v>
      </c>
      <c r="AH300">
        <v>0</v>
      </c>
      <c r="AI300">
        <v>0</v>
      </c>
      <c r="AJ300">
        <v>0</v>
      </c>
      <c r="AK300">
        <v>0</v>
      </c>
      <c r="AL300" t="s">
        <v>1993</v>
      </c>
      <c r="AM300" t="s">
        <v>1994</v>
      </c>
      <c r="AN300" t="s">
        <v>1995</v>
      </c>
      <c r="AO300" t="s">
        <v>1996</v>
      </c>
      <c r="AP300" t="s">
        <v>1997</v>
      </c>
      <c r="AQ300" t="s">
        <v>74</v>
      </c>
      <c r="AR300" t="s">
        <v>1998</v>
      </c>
      <c r="AS300" t="s">
        <v>1999</v>
      </c>
      <c r="AT300" t="s">
        <v>1527</v>
      </c>
      <c r="AU300">
        <v>2022</v>
      </c>
      <c r="AV300">
        <v>18</v>
      </c>
      <c r="AW300">
        <v>1</v>
      </c>
      <c r="AX300" t="s">
        <v>74</v>
      </c>
      <c r="AY300" t="s">
        <v>74</v>
      </c>
      <c r="AZ300" t="s">
        <v>74</v>
      </c>
      <c r="BA300" t="s">
        <v>74</v>
      </c>
      <c r="BB300">
        <v>176</v>
      </c>
      <c r="BC300">
        <v>190</v>
      </c>
      <c r="BD300" t="s">
        <v>74</v>
      </c>
      <c r="BE300" t="s">
        <v>3497</v>
      </c>
      <c r="BF300" t="str">
        <f>HYPERLINK("http://dx.doi.org/10.21676/23897856.3870","http://dx.doi.org/10.21676/23897856.3870")</f>
        <v>http://dx.doi.org/10.21676/23897856.3870</v>
      </c>
      <c r="BG300" t="s">
        <v>74</v>
      </c>
      <c r="BH300" t="s">
        <v>74</v>
      </c>
      <c r="BI300">
        <v>15</v>
      </c>
      <c r="BJ300" t="s">
        <v>963</v>
      </c>
      <c r="BK300" t="s">
        <v>187</v>
      </c>
      <c r="BL300" t="s">
        <v>963</v>
      </c>
      <c r="BM300" t="s">
        <v>3498</v>
      </c>
      <c r="BN300" t="s">
        <v>74</v>
      </c>
      <c r="BO300" t="s">
        <v>1111</v>
      </c>
      <c r="BP300" t="s">
        <v>74</v>
      </c>
      <c r="BQ300" t="s">
        <v>74</v>
      </c>
      <c r="BR300" t="s">
        <v>105</v>
      </c>
      <c r="BS300" t="s">
        <v>3499</v>
      </c>
      <c r="BT300" t="str">
        <f>HYPERLINK("https%3A%2F%2Fwww.webofscience.com%2Fwos%2Fwoscc%2Ffull-record%2FWOS:000992732800007","View Full Record in Web of Science")</f>
        <v>View Full Record in Web of Science</v>
      </c>
    </row>
    <row r="301" spans="1:72" x14ac:dyDescent="0.2">
      <c r="A301" t="s">
        <v>72</v>
      </c>
      <c r="B301" t="s">
        <v>2417</v>
      </c>
      <c r="C301" t="s">
        <v>74</v>
      </c>
      <c r="D301" t="s">
        <v>74</v>
      </c>
      <c r="E301" t="s">
        <v>74</v>
      </c>
      <c r="F301" t="s">
        <v>2418</v>
      </c>
      <c r="G301" t="s">
        <v>74</v>
      </c>
      <c r="H301" t="s">
        <v>74</v>
      </c>
      <c r="I301" t="s">
        <v>2419</v>
      </c>
      <c r="J301" t="s">
        <v>2420</v>
      </c>
      <c r="K301" t="s">
        <v>74</v>
      </c>
      <c r="L301" t="s">
        <v>74</v>
      </c>
      <c r="M301" t="s">
        <v>78</v>
      </c>
      <c r="N301" t="s">
        <v>2421</v>
      </c>
      <c r="O301" t="s">
        <v>74</v>
      </c>
      <c r="P301" t="s">
        <v>74</v>
      </c>
      <c r="Q301" t="s">
        <v>74</v>
      </c>
      <c r="R301" t="s">
        <v>74</v>
      </c>
      <c r="S301" t="s">
        <v>74</v>
      </c>
      <c r="T301" t="s">
        <v>2422</v>
      </c>
      <c r="U301" t="s">
        <v>74</v>
      </c>
      <c r="V301" t="s">
        <v>2423</v>
      </c>
      <c r="W301" s="1" t="s">
        <v>2424</v>
      </c>
      <c r="X301" t="s">
        <v>84</v>
      </c>
      <c r="Y301" t="s">
        <v>2425</v>
      </c>
      <c r="Z301" t="s">
        <v>2426</v>
      </c>
      <c r="AA301" t="s">
        <v>74</v>
      </c>
      <c r="AB301" t="s">
        <v>74</v>
      </c>
      <c r="AC301" t="s">
        <v>74</v>
      </c>
      <c r="AD301" t="s">
        <v>74</v>
      </c>
      <c r="AE301" t="s">
        <v>74</v>
      </c>
      <c r="AF301" t="s">
        <v>2427</v>
      </c>
      <c r="AG301">
        <v>5</v>
      </c>
      <c r="AH301">
        <v>0</v>
      </c>
      <c r="AI301">
        <v>0</v>
      </c>
      <c r="AJ301">
        <v>1</v>
      </c>
      <c r="AK301">
        <v>1</v>
      </c>
      <c r="AL301" t="s">
        <v>2420</v>
      </c>
      <c r="AM301" t="s">
        <v>2428</v>
      </c>
      <c r="AN301" t="s">
        <v>2429</v>
      </c>
      <c r="AO301" t="s">
        <v>2430</v>
      </c>
      <c r="AP301" t="s">
        <v>2431</v>
      </c>
      <c r="AQ301" t="s">
        <v>74</v>
      </c>
      <c r="AR301" t="s">
        <v>2432</v>
      </c>
      <c r="AS301" t="s">
        <v>2433</v>
      </c>
      <c r="AT301" t="s">
        <v>460</v>
      </c>
      <c r="AU301">
        <v>2022</v>
      </c>
      <c r="AV301">
        <v>26</v>
      </c>
      <c r="AW301">
        <v>4</v>
      </c>
      <c r="AX301" t="s">
        <v>74</v>
      </c>
      <c r="AY301" t="s">
        <v>74</v>
      </c>
      <c r="AZ301" t="s">
        <v>74</v>
      </c>
      <c r="BA301" t="s">
        <v>74</v>
      </c>
      <c r="BB301">
        <v>576</v>
      </c>
      <c r="BC301">
        <v>577</v>
      </c>
      <c r="BD301" t="s">
        <v>74</v>
      </c>
      <c r="BE301" t="s">
        <v>2434</v>
      </c>
      <c r="BF301" t="str">
        <f>HYPERLINK("http://dx.doi.org/10.35975/apic.v26i4.1970","http://dx.doi.org/10.35975/apic.v26i4.1970")</f>
        <v>http://dx.doi.org/10.35975/apic.v26i4.1970</v>
      </c>
      <c r="BG301" t="s">
        <v>74</v>
      </c>
      <c r="BH301" t="s">
        <v>74</v>
      </c>
      <c r="BI301">
        <v>2</v>
      </c>
      <c r="BJ301" t="s">
        <v>2435</v>
      </c>
      <c r="BK301" t="s">
        <v>187</v>
      </c>
      <c r="BL301" t="s">
        <v>2435</v>
      </c>
      <c r="BM301" t="s">
        <v>2436</v>
      </c>
      <c r="BN301" t="s">
        <v>74</v>
      </c>
      <c r="BO301" t="s">
        <v>190</v>
      </c>
      <c r="BP301" t="s">
        <v>74</v>
      </c>
      <c r="BQ301" t="s">
        <v>74</v>
      </c>
      <c r="BR301" t="s">
        <v>105</v>
      </c>
      <c r="BS301" t="s">
        <v>2437</v>
      </c>
      <c r="BT301" t="str">
        <f>HYPERLINK("https%3A%2F%2Fwww.webofscience.com%2Fwos%2Fwoscc%2Ffull-record%2FWOS:000861049300025","View Full Record in Web of Science")</f>
        <v>View Full Record in Web of Science</v>
      </c>
    </row>
    <row r="302" spans="1:72" x14ac:dyDescent="0.2">
      <c r="A302" t="s">
        <v>72</v>
      </c>
      <c r="B302" t="s">
        <v>675</v>
      </c>
      <c r="C302" t="s">
        <v>74</v>
      </c>
      <c r="D302" t="s">
        <v>74</v>
      </c>
      <c r="E302" t="s">
        <v>74</v>
      </c>
      <c r="F302" t="s">
        <v>676</v>
      </c>
      <c r="G302" t="s">
        <v>74</v>
      </c>
      <c r="H302" t="s">
        <v>74</v>
      </c>
      <c r="I302" t="s">
        <v>677</v>
      </c>
      <c r="J302" t="s">
        <v>348</v>
      </c>
      <c r="K302" t="s">
        <v>74</v>
      </c>
      <c r="L302" t="s">
        <v>74</v>
      </c>
      <c r="M302" t="s">
        <v>78</v>
      </c>
      <c r="N302" t="s">
        <v>79</v>
      </c>
      <c r="O302" t="s">
        <v>74</v>
      </c>
      <c r="P302" t="s">
        <v>74</v>
      </c>
      <c r="Q302" t="s">
        <v>74</v>
      </c>
      <c r="R302" t="s">
        <v>74</v>
      </c>
      <c r="S302" t="s">
        <v>74</v>
      </c>
      <c r="T302" t="s">
        <v>678</v>
      </c>
      <c r="U302" t="s">
        <v>679</v>
      </c>
      <c r="V302" t="s">
        <v>680</v>
      </c>
      <c r="W302" s="1" t="s">
        <v>681</v>
      </c>
      <c r="X302" t="s">
        <v>682</v>
      </c>
      <c r="Y302" t="s">
        <v>683</v>
      </c>
      <c r="Z302" t="s">
        <v>684</v>
      </c>
      <c r="AA302" t="s">
        <v>685</v>
      </c>
      <c r="AB302" t="s">
        <v>686</v>
      </c>
      <c r="AC302" t="s">
        <v>687</v>
      </c>
      <c r="AD302" t="s">
        <v>491</v>
      </c>
      <c r="AE302" t="s">
        <v>688</v>
      </c>
      <c r="AF302" t="s">
        <v>689</v>
      </c>
      <c r="AG302">
        <v>59</v>
      </c>
      <c r="AH302">
        <v>3</v>
      </c>
      <c r="AI302">
        <v>3</v>
      </c>
      <c r="AJ302">
        <v>9</v>
      </c>
      <c r="AK302">
        <v>16</v>
      </c>
      <c r="AL302" t="s">
        <v>93</v>
      </c>
      <c r="AM302" t="s">
        <v>94</v>
      </c>
      <c r="AN302" t="s">
        <v>95</v>
      </c>
      <c r="AO302" t="s">
        <v>74</v>
      </c>
      <c r="AP302" t="s">
        <v>362</v>
      </c>
      <c r="AQ302" t="s">
        <v>74</v>
      </c>
      <c r="AR302" t="s">
        <v>363</v>
      </c>
      <c r="AS302" t="s">
        <v>364</v>
      </c>
      <c r="AT302" t="s">
        <v>126</v>
      </c>
      <c r="AU302">
        <v>2022</v>
      </c>
      <c r="AV302">
        <v>22</v>
      </c>
      <c r="AW302">
        <v>11</v>
      </c>
      <c r="AX302" t="s">
        <v>74</v>
      </c>
      <c r="AY302" t="s">
        <v>74</v>
      </c>
      <c r="AZ302" t="s">
        <v>74</v>
      </c>
      <c r="BA302" t="s">
        <v>74</v>
      </c>
      <c r="BB302" t="s">
        <v>74</v>
      </c>
      <c r="BC302" t="s">
        <v>74</v>
      </c>
      <c r="BD302">
        <v>3999</v>
      </c>
      <c r="BE302" t="s">
        <v>690</v>
      </c>
      <c r="BF302" t="str">
        <f>HYPERLINK("http://dx.doi.org/10.3390/s22113999","http://dx.doi.org/10.3390/s22113999")</f>
        <v>http://dx.doi.org/10.3390/s22113999</v>
      </c>
      <c r="BG302" t="s">
        <v>74</v>
      </c>
      <c r="BH302" t="s">
        <v>74</v>
      </c>
      <c r="BI302">
        <v>21</v>
      </c>
      <c r="BJ302" t="s">
        <v>366</v>
      </c>
      <c r="BK302" t="s">
        <v>102</v>
      </c>
      <c r="BL302" t="s">
        <v>367</v>
      </c>
      <c r="BM302" t="s">
        <v>691</v>
      </c>
      <c r="BN302">
        <v>35684618</v>
      </c>
      <c r="BO302" t="s">
        <v>131</v>
      </c>
      <c r="BP302" t="s">
        <v>74</v>
      </c>
      <c r="BQ302" t="s">
        <v>74</v>
      </c>
      <c r="BR302" t="s">
        <v>105</v>
      </c>
      <c r="BS302" t="s">
        <v>692</v>
      </c>
      <c r="BT302" t="str">
        <f>HYPERLINK("https%3A%2F%2Fwww.webofscience.com%2Fwos%2Fwoscc%2Ffull-record%2FWOS:000808950000001","View Full Record in Web of Science")</f>
        <v>View Full Record in Web of Science</v>
      </c>
    </row>
    <row r="303" spans="1:72" x14ac:dyDescent="0.2">
      <c r="A303" t="s">
        <v>72</v>
      </c>
      <c r="B303" t="s">
        <v>3021</v>
      </c>
      <c r="C303" t="s">
        <v>74</v>
      </c>
      <c r="D303" t="s">
        <v>74</v>
      </c>
      <c r="E303" t="s">
        <v>74</v>
      </c>
      <c r="F303" t="s">
        <v>3022</v>
      </c>
      <c r="G303" t="s">
        <v>74</v>
      </c>
      <c r="H303" t="s">
        <v>74</v>
      </c>
      <c r="I303" t="s">
        <v>3023</v>
      </c>
      <c r="J303" t="s">
        <v>3024</v>
      </c>
      <c r="K303" t="s">
        <v>74</v>
      </c>
      <c r="L303" t="s">
        <v>74</v>
      </c>
      <c r="M303" t="s">
        <v>78</v>
      </c>
      <c r="N303" t="s">
        <v>167</v>
      </c>
      <c r="O303" t="s">
        <v>74</v>
      </c>
      <c r="P303" t="s">
        <v>74</v>
      </c>
      <c r="Q303" t="s">
        <v>74</v>
      </c>
      <c r="R303" t="s">
        <v>74</v>
      </c>
      <c r="S303" t="s">
        <v>74</v>
      </c>
      <c r="T303" t="s">
        <v>3025</v>
      </c>
      <c r="U303" t="s">
        <v>3026</v>
      </c>
      <c r="V303" t="s">
        <v>3027</v>
      </c>
      <c r="W303" s="1" t="s">
        <v>3028</v>
      </c>
      <c r="X303" t="s">
        <v>3029</v>
      </c>
      <c r="Y303" t="s">
        <v>3030</v>
      </c>
      <c r="Z303" t="s">
        <v>3031</v>
      </c>
      <c r="AA303" t="s">
        <v>3032</v>
      </c>
      <c r="AB303" t="s">
        <v>3033</v>
      </c>
      <c r="AC303" t="s">
        <v>3034</v>
      </c>
      <c r="AD303" t="s">
        <v>3035</v>
      </c>
      <c r="AE303" t="s">
        <v>3036</v>
      </c>
      <c r="AF303" t="s">
        <v>3037</v>
      </c>
      <c r="AG303">
        <v>164</v>
      </c>
      <c r="AH303">
        <v>9</v>
      </c>
      <c r="AI303">
        <v>9</v>
      </c>
      <c r="AJ303">
        <v>14</v>
      </c>
      <c r="AK303">
        <v>41</v>
      </c>
      <c r="AL303" t="s">
        <v>263</v>
      </c>
      <c r="AM303" t="s">
        <v>264</v>
      </c>
      <c r="AN303" t="s">
        <v>265</v>
      </c>
      <c r="AO303" t="s">
        <v>3038</v>
      </c>
      <c r="AP303" t="s">
        <v>3039</v>
      </c>
      <c r="AQ303" t="s">
        <v>74</v>
      </c>
      <c r="AR303" t="s">
        <v>3040</v>
      </c>
      <c r="AS303" t="s">
        <v>3041</v>
      </c>
      <c r="AT303" t="s">
        <v>268</v>
      </c>
      <c r="AU303">
        <v>2022</v>
      </c>
      <c r="AV303">
        <v>46</v>
      </c>
      <c r="AW303" t="s">
        <v>74</v>
      </c>
      <c r="AX303" t="s">
        <v>74</v>
      </c>
      <c r="AY303" t="s">
        <v>74</v>
      </c>
      <c r="AZ303" t="s">
        <v>74</v>
      </c>
      <c r="BA303" t="s">
        <v>74</v>
      </c>
      <c r="BB303" t="s">
        <v>74</v>
      </c>
      <c r="BC303" t="s">
        <v>74</v>
      </c>
      <c r="BD303">
        <v>101577</v>
      </c>
      <c r="BE303" t="s">
        <v>3042</v>
      </c>
      <c r="BF303" t="str">
        <f>HYPERLINK("http://dx.doi.org/10.1016/j.fbio.2022.101577","http://dx.doi.org/10.1016/j.fbio.2022.101577")</f>
        <v>http://dx.doi.org/10.1016/j.fbio.2022.101577</v>
      </c>
      <c r="BG303" t="s">
        <v>74</v>
      </c>
      <c r="BH303" t="s">
        <v>1214</v>
      </c>
      <c r="BI303">
        <v>17</v>
      </c>
      <c r="BJ303" t="s">
        <v>342</v>
      </c>
      <c r="BK303" t="s">
        <v>102</v>
      </c>
      <c r="BL303" t="s">
        <v>342</v>
      </c>
      <c r="BM303" t="s">
        <v>3043</v>
      </c>
      <c r="BN303" t="s">
        <v>74</v>
      </c>
      <c r="BO303" t="s">
        <v>74</v>
      </c>
      <c r="BP303" t="s">
        <v>74</v>
      </c>
      <c r="BQ303" t="s">
        <v>74</v>
      </c>
      <c r="BR303" t="s">
        <v>105</v>
      </c>
      <c r="BS303" t="s">
        <v>3044</v>
      </c>
      <c r="BT303" t="str">
        <f>HYPERLINK("https%3A%2F%2Fwww.webofscience.com%2Fwos%2Fwoscc%2Ffull-record%2FWOS:000770685300005","View Full Record in Web of Science")</f>
        <v>View Full Record in Web of Science</v>
      </c>
    </row>
    <row r="304" spans="1:72" x14ac:dyDescent="0.2">
      <c r="A304" t="s">
        <v>72</v>
      </c>
      <c r="B304" t="s">
        <v>5007</v>
      </c>
      <c r="C304" t="s">
        <v>74</v>
      </c>
      <c r="D304" t="s">
        <v>74</v>
      </c>
      <c r="E304" t="s">
        <v>74</v>
      </c>
      <c r="F304" t="s">
        <v>5008</v>
      </c>
      <c r="G304" t="s">
        <v>74</v>
      </c>
      <c r="H304" t="s">
        <v>74</v>
      </c>
      <c r="I304" t="s">
        <v>5009</v>
      </c>
      <c r="J304" t="s">
        <v>5010</v>
      </c>
      <c r="K304" t="s">
        <v>74</v>
      </c>
      <c r="L304" t="s">
        <v>74</v>
      </c>
      <c r="M304" t="s">
        <v>78</v>
      </c>
      <c r="N304" t="s">
        <v>79</v>
      </c>
      <c r="O304" t="s">
        <v>74</v>
      </c>
      <c r="P304" t="s">
        <v>74</v>
      </c>
      <c r="Q304" t="s">
        <v>74</v>
      </c>
      <c r="R304" t="s">
        <v>74</v>
      </c>
      <c r="S304" t="s">
        <v>74</v>
      </c>
      <c r="T304" t="s">
        <v>5011</v>
      </c>
      <c r="U304" t="s">
        <v>5012</v>
      </c>
      <c r="V304" t="s">
        <v>5013</v>
      </c>
      <c r="W304" s="1" t="s">
        <v>5014</v>
      </c>
      <c r="X304" t="s">
        <v>5015</v>
      </c>
      <c r="Y304" t="s">
        <v>5016</v>
      </c>
      <c r="Z304" t="s">
        <v>5017</v>
      </c>
      <c r="AA304" t="s">
        <v>74</v>
      </c>
      <c r="AB304" t="s">
        <v>74</v>
      </c>
      <c r="AC304" t="s">
        <v>5018</v>
      </c>
      <c r="AD304" t="s">
        <v>5019</v>
      </c>
      <c r="AE304" t="s">
        <v>5020</v>
      </c>
      <c r="AF304" t="s">
        <v>5021</v>
      </c>
      <c r="AG304">
        <v>11</v>
      </c>
      <c r="AH304">
        <v>0</v>
      </c>
      <c r="AI304">
        <v>0</v>
      </c>
      <c r="AJ304">
        <v>2</v>
      </c>
      <c r="AK304">
        <v>2</v>
      </c>
      <c r="AL304" t="s">
        <v>150</v>
      </c>
      <c r="AM304" t="s">
        <v>151</v>
      </c>
      <c r="AN304" t="s">
        <v>152</v>
      </c>
      <c r="AO304" t="s">
        <v>5022</v>
      </c>
      <c r="AP304" t="s">
        <v>5023</v>
      </c>
      <c r="AQ304" t="s">
        <v>74</v>
      </c>
      <c r="AR304" t="s">
        <v>5024</v>
      </c>
      <c r="AS304" t="s">
        <v>5025</v>
      </c>
      <c r="AT304" t="s">
        <v>1162</v>
      </c>
      <c r="AU304">
        <v>2023</v>
      </c>
      <c r="AV304">
        <v>43</v>
      </c>
      <c r="AW304">
        <v>2</v>
      </c>
      <c r="AX304" t="s">
        <v>74</v>
      </c>
      <c r="AY304" t="s">
        <v>74</v>
      </c>
      <c r="AZ304" t="s">
        <v>74</v>
      </c>
      <c r="BA304" t="s">
        <v>74</v>
      </c>
      <c r="BB304">
        <v>975</v>
      </c>
      <c r="BC304">
        <v>980</v>
      </c>
      <c r="BD304" t="s">
        <v>74</v>
      </c>
      <c r="BE304" t="s">
        <v>5026</v>
      </c>
      <c r="BF304" t="str">
        <f>HYPERLINK("http://dx.doi.org/10.1007/s10473-023-0226-0","http://dx.doi.org/10.1007/s10473-023-0226-0")</f>
        <v>http://dx.doi.org/10.1007/s10473-023-0226-0</v>
      </c>
      <c r="BG304" t="s">
        <v>74</v>
      </c>
      <c r="BH304" t="s">
        <v>74</v>
      </c>
      <c r="BI304">
        <v>6</v>
      </c>
      <c r="BJ304" t="s">
        <v>576</v>
      </c>
      <c r="BK304" t="s">
        <v>102</v>
      </c>
      <c r="BL304" t="s">
        <v>576</v>
      </c>
      <c r="BM304" t="s">
        <v>5027</v>
      </c>
      <c r="BN304" t="s">
        <v>74</v>
      </c>
      <c r="BO304" t="s">
        <v>74</v>
      </c>
      <c r="BP304" t="s">
        <v>74</v>
      </c>
      <c r="BQ304" t="s">
        <v>74</v>
      </c>
      <c r="BR304" t="s">
        <v>105</v>
      </c>
      <c r="BS304" t="s">
        <v>5028</v>
      </c>
      <c r="BT304" t="str">
        <f>HYPERLINK("https%3A%2F%2Fwww.webofscience.com%2Fwos%2Fwoscc%2Ffull-record%2FWOS:000921984900026","View Full Record in Web of Science")</f>
        <v>View Full Record in Web of Science</v>
      </c>
    </row>
    <row r="305" spans="1:72" x14ac:dyDescent="0.2">
      <c r="A305" t="s">
        <v>72</v>
      </c>
      <c r="B305" t="s">
        <v>3243</v>
      </c>
      <c r="C305" t="s">
        <v>74</v>
      </c>
      <c r="D305" t="s">
        <v>74</v>
      </c>
      <c r="E305" t="s">
        <v>74</v>
      </c>
      <c r="F305" t="s">
        <v>3244</v>
      </c>
      <c r="G305" t="s">
        <v>74</v>
      </c>
      <c r="H305" t="s">
        <v>74</v>
      </c>
      <c r="I305" t="s">
        <v>3245</v>
      </c>
      <c r="J305" t="s">
        <v>3246</v>
      </c>
      <c r="K305" t="s">
        <v>74</v>
      </c>
      <c r="L305" t="s">
        <v>74</v>
      </c>
      <c r="M305" t="s">
        <v>78</v>
      </c>
      <c r="N305" t="s">
        <v>79</v>
      </c>
      <c r="O305" t="s">
        <v>74</v>
      </c>
      <c r="P305" t="s">
        <v>74</v>
      </c>
      <c r="Q305" t="s">
        <v>74</v>
      </c>
      <c r="R305" t="s">
        <v>74</v>
      </c>
      <c r="S305" t="s">
        <v>74</v>
      </c>
      <c r="T305" t="s">
        <v>74</v>
      </c>
      <c r="U305" t="s">
        <v>3247</v>
      </c>
      <c r="V305" t="s">
        <v>3248</v>
      </c>
      <c r="W305" s="1" t="s">
        <v>3249</v>
      </c>
      <c r="X305" t="s">
        <v>3250</v>
      </c>
      <c r="Y305" t="s">
        <v>3251</v>
      </c>
      <c r="Z305" t="s">
        <v>74</v>
      </c>
      <c r="AA305" t="s">
        <v>74</v>
      </c>
      <c r="AB305" t="s">
        <v>3252</v>
      </c>
      <c r="AC305" t="s">
        <v>3253</v>
      </c>
      <c r="AD305" t="s">
        <v>3254</v>
      </c>
      <c r="AE305" t="s">
        <v>3255</v>
      </c>
      <c r="AF305" t="s">
        <v>3256</v>
      </c>
      <c r="AG305">
        <v>70</v>
      </c>
      <c r="AH305">
        <v>5</v>
      </c>
      <c r="AI305">
        <v>5</v>
      </c>
      <c r="AJ305">
        <v>0</v>
      </c>
      <c r="AK305">
        <v>0</v>
      </c>
      <c r="AL305" t="s">
        <v>3257</v>
      </c>
      <c r="AM305" t="s">
        <v>3258</v>
      </c>
      <c r="AN305" t="s">
        <v>3259</v>
      </c>
      <c r="AO305" t="s">
        <v>3260</v>
      </c>
      <c r="AP305" t="s">
        <v>3261</v>
      </c>
      <c r="AQ305" t="s">
        <v>74</v>
      </c>
      <c r="AR305" t="s">
        <v>3262</v>
      </c>
      <c r="AS305" t="s">
        <v>3263</v>
      </c>
      <c r="AT305" t="s">
        <v>3264</v>
      </c>
      <c r="AU305">
        <v>2022</v>
      </c>
      <c r="AV305">
        <v>105</v>
      </c>
      <c r="AW305">
        <v>9</v>
      </c>
      <c r="AX305" t="s">
        <v>74</v>
      </c>
      <c r="AY305" t="s">
        <v>74</v>
      </c>
      <c r="AZ305" t="s">
        <v>74</v>
      </c>
      <c r="BA305" t="s">
        <v>74</v>
      </c>
      <c r="BB305" t="s">
        <v>74</v>
      </c>
      <c r="BC305" t="s">
        <v>74</v>
      </c>
      <c r="BD305">
        <v>95026</v>
      </c>
      <c r="BE305" t="s">
        <v>3265</v>
      </c>
      <c r="BF305" t="str">
        <f>HYPERLINK("http://dx.doi.org/10.1103/PhysRevD.105.095026","http://dx.doi.org/10.1103/PhysRevD.105.095026")</f>
        <v>http://dx.doi.org/10.1103/PhysRevD.105.095026</v>
      </c>
      <c r="BG305" t="s">
        <v>74</v>
      </c>
      <c r="BH305" t="s">
        <v>74</v>
      </c>
      <c r="BI305">
        <v>19</v>
      </c>
      <c r="BJ305" t="s">
        <v>3266</v>
      </c>
      <c r="BK305" t="s">
        <v>102</v>
      </c>
      <c r="BL305" t="s">
        <v>3267</v>
      </c>
      <c r="BM305" t="s">
        <v>3268</v>
      </c>
      <c r="BN305" t="s">
        <v>74</v>
      </c>
      <c r="BO305" t="s">
        <v>3269</v>
      </c>
      <c r="BP305" t="s">
        <v>74</v>
      </c>
      <c r="BQ305" t="s">
        <v>74</v>
      </c>
      <c r="BR305" t="s">
        <v>105</v>
      </c>
      <c r="BS305" t="s">
        <v>3270</v>
      </c>
      <c r="BT305" t="str">
        <f>HYPERLINK("https%3A%2F%2Fwww.webofscience.com%2Fwos%2Fwoscc%2Ffull-record%2FWOS:000807778600002","View Full Record in Web of Science")</f>
        <v>View Full Record in Web of Science</v>
      </c>
    </row>
    <row r="306" spans="1:72" x14ac:dyDescent="0.2">
      <c r="A306" t="s">
        <v>72</v>
      </c>
      <c r="B306" t="s">
        <v>6124</v>
      </c>
      <c r="C306" t="s">
        <v>74</v>
      </c>
      <c r="D306" t="s">
        <v>74</v>
      </c>
      <c r="E306" t="s">
        <v>74</v>
      </c>
      <c r="F306" t="s">
        <v>6125</v>
      </c>
      <c r="G306" t="s">
        <v>74</v>
      </c>
      <c r="H306" t="s">
        <v>74</v>
      </c>
      <c r="I306" t="s">
        <v>6126</v>
      </c>
      <c r="J306" t="s">
        <v>6127</v>
      </c>
      <c r="K306" t="s">
        <v>74</v>
      </c>
      <c r="L306" t="s">
        <v>74</v>
      </c>
      <c r="M306" t="s">
        <v>78</v>
      </c>
      <c r="N306" t="s">
        <v>79</v>
      </c>
      <c r="O306" t="s">
        <v>74</v>
      </c>
      <c r="P306" t="s">
        <v>74</v>
      </c>
      <c r="Q306" t="s">
        <v>74</v>
      </c>
      <c r="R306" t="s">
        <v>74</v>
      </c>
      <c r="S306" t="s">
        <v>74</v>
      </c>
      <c r="T306" t="s">
        <v>6128</v>
      </c>
      <c r="U306" t="s">
        <v>6129</v>
      </c>
      <c r="V306" t="s">
        <v>6130</v>
      </c>
      <c r="W306" s="1" t="s">
        <v>6131</v>
      </c>
      <c r="X306" t="s">
        <v>74</v>
      </c>
      <c r="Y306" t="s">
        <v>6132</v>
      </c>
      <c r="Z306" t="s">
        <v>6133</v>
      </c>
      <c r="AA306" t="s">
        <v>74</v>
      </c>
      <c r="AB306" t="s">
        <v>6134</v>
      </c>
      <c r="AC306" t="s">
        <v>6135</v>
      </c>
      <c r="AD306" t="s">
        <v>6136</v>
      </c>
      <c r="AE306" t="s">
        <v>6137</v>
      </c>
      <c r="AF306" t="s">
        <v>6138</v>
      </c>
      <c r="AG306">
        <v>53</v>
      </c>
      <c r="AH306">
        <v>2</v>
      </c>
      <c r="AI306">
        <v>2</v>
      </c>
      <c r="AJ306">
        <v>10</v>
      </c>
      <c r="AK306">
        <v>15</v>
      </c>
      <c r="AL306" t="s">
        <v>263</v>
      </c>
      <c r="AM306" t="s">
        <v>264</v>
      </c>
      <c r="AN306" t="s">
        <v>265</v>
      </c>
      <c r="AO306" t="s">
        <v>6139</v>
      </c>
      <c r="AP306" t="s">
        <v>6140</v>
      </c>
      <c r="AQ306" t="s">
        <v>74</v>
      </c>
      <c r="AR306" t="s">
        <v>6141</v>
      </c>
      <c r="AS306" t="s">
        <v>6142</v>
      </c>
      <c r="AT306" t="s">
        <v>1360</v>
      </c>
      <c r="AU306">
        <v>2022</v>
      </c>
      <c r="AV306">
        <v>253</v>
      </c>
      <c r="AW306" t="s">
        <v>74</v>
      </c>
      <c r="AX306" t="s">
        <v>74</v>
      </c>
      <c r="AY306" t="s">
        <v>74</v>
      </c>
      <c r="AZ306" t="s">
        <v>74</v>
      </c>
      <c r="BA306" t="s">
        <v>74</v>
      </c>
      <c r="BB306" t="s">
        <v>74</v>
      </c>
      <c r="BC306" t="s">
        <v>74</v>
      </c>
      <c r="BD306">
        <v>103937</v>
      </c>
      <c r="BE306" t="s">
        <v>6143</v>
      </c>
      <c r="BF306" t="str">
        <f>HYPERLINK("http://dx.doi.org/10.1016/j.coal.2022.103937","http://dx.doi.org/10.1016/j.coal.2022.103937")</f>
        <v>http://dx.doi.org/10.1016/j.coal.2022.103937</v>
      </c>
      <c r="BG306" t="s">
        <v>74</v>
      </c>
      <c r="BH306" t="s">
        <v>244</v>
      </c>
      <c r="BI306">
        <v>17</v>
      </c>
      <c r="BJ306" t="s">
        <v>6144</v>
      </c>
      <c r="BK306" t="s">
        <v>102</v>
      </c>
      <c r="BL306" t="s">
        <v>6145</v>
      </c>
      <c r="BM306" t="s">
        <v>6146</v>
      </c>
      <c r="BN306" t="s">
        <v>74</v>
      </c>
      <c r="BO306" t="s">
        <v>74</v>
      </c>
      <c r="BP306" t="s">
        <v>74</v>
      </c>
      <c r="BQ306" t="s">
        <v>74</v>
      </c>
      <c r="BR306" t="s">
        <v>105</v>
      </c>
      <c r="BS306" t="s">
        <v>6147</v>
      </c>
      <c r="BT306" t="str">
        <f>HYPERLINK("https%3A%2F%2Fwww.webofscience.com%2Fwos%2Fwoscc%2Ffull-record%2FWOS:000820629900001","View Full Record in Web of Science")</f>
        <v>View Full Record in Web of Science</v>
      </c>
    </row>
    <row r="307" spans="1:72" x14ac:dyDescent="0.2">
      <c r="A307" t="s">
        <v>72</v>
      </c>
      <c r="B307" t="s">
        <v>2976</v>
      </c>
      <c r="C307" t="s">
        <v>74</v>
      </c>
      <c r="D307" t="s">
        <v>74</v>
      </c>
      <c r="E307" t="s">
        <v>74</v>
      </c>
      <c r="F307" t="s">
        <v>2977</v>
      </c>
      <c r="G307" t="s">
        <v>74</v>
      </c>
      <c r="H307" t="s">
        <v>74</v>
      </c>
      <c r="I307" t="s">
        <v>2978</v>
      </c>
      <c r="J307" t="s">
        <v>742</v>
      </c>
      <c r="K307" t="s">
        <v>74</v>
      </c>
      <c r="L307" t="s">
        <v>74</v>
      </c>
      <c r="M307" t="s">
        <v>78</v>
      </c>
      <c r="N307" t="s">
        <v>79</v>
      </c>
      <c r="O307" t="s">
        <v>74</v>
      </c>
      <c r="P307" t="s">
        <v>74</v>
      </c>
      <c r="Q307" t="s">
        <v>74</v>
      </c>
      <c r="R307" t="s">
        <v>74</v>
      </c>
      <c r="S307" t="s">
        <v>74</v>
      </c>
      <c r="T307" t="s">
        <v>2979</v>
      </c>
      <c r="U307" t="s">
        <v>2980</v>
      </c>
      <c r="V307" t="s">
        <v>2981</v>
      </c>
      <c r="W307" s="1" t="s">
        <v>2982</v>
      </c>
      <c r="X307" t="s">
        <v>2983</v>
      </c>
      <c r="Y307" t="s">
        <v>2984</v>
      </c>
      <c r="Z307" t="s">
        <v>2985</v>
      </c>
      <c r="AA307" t="s">
        <v>2986</v>
      </c>
      <c r="AB307" t="s">
        <v>2987</v>
      </c>
      <c r="AC307" t="s">
        <v>2988</v>
      </c>
      <c r="AD307" t="s">
        <v>2989</v>
      </c>
      <c r="AE307" t="s">
        <v>2990</v>
      </c>
      <c r="AF307" t="s">
        <v>2991</v>
      </c>
      <c r="AG307">
        <v>55</v>
      </c>
      <c r="AH307">
        <v>1</v>
      </c>
      <c r="AI307">
        <v>1</v>
      </c>
      <c r="AJ307">
        <v>4</v>
      </c>
      <c r="AK307">
        <v>7</v>
      </c>
      <c r="AL307" t="s">
        <v>263</v>
      </c>
      <c r="AM307" t="s">
        <v>264</v>
      </c>
      <c r="AN307" t="s">
        <v>265</v>
      </c>
      <c r="AO307" t="s">
        <v>755</v>
      </c>
      <c r="AP307" t="s">
        <v>756</v>
      </c>
      <c r="AQ307" t="s">
        <v>74</v>
      </c>
      <c r="AR307" t="s">
        <v>757</v>
      </c>
      <c r="AS307" t="s">
        <v>758</v>
      </c>
      <c r="AT307" t="s">
        <v>2992</v>
      </c>
      <c r="AU307">
        <v>2022</v>
      </c>
      <c r="AV307">
        <v>1253</v>
      </c>
      <c r="AW307" t="s">
        <v>74</v>
      </c>
      <c r="AX307" t="s">
        <v>74</v>
      </c>
      <c r="AY307" t="s">
        <v>74</v>
      </c>
      <c r="AZ307" t="s">
        <v>74</v>
      </c>
      <c r="BA307" t="s">
        <v>74</v>
      </c>
      <c r="BB307" t="s">
        <v>74</v>
      </c>
      <c r="BC307" t="s">
        <v>74</v>
      </c>
      <c r="BD307">
        <v>132253</v>
      </c>
      <c r="BE307" t="s">
        <v>2993</v>
      </c>
      <c r="BF307" t="str">
        <f>HYPERLINK("http://dx.doi.org/10.1016/j.molstruc.2021.132253","http://dx.doi.org/10.1016/j.molstruc.2021.132253")</f>
        <v>http://dx.doi.org/10.1016/j.molstruc.2021.132253</v>
      </c>
      <c r="BG307" t="s">
        <v>74</v>
      </c>
      <c r="BH307" t="s">
        <v>389</v>
      </c>
      <c r="BI307">
        <v>11</v>
      </c>
      <c r="BJ307" t="s">
        <v>761</v>
      </c>
      <c r="BK307" t="s">
        <v>102</v>
      </c>
      <c r="BL307" t="s">
        <v>216</v>
      </c>
      <c r="BM307" t="s">
        <v>2994</v>
      </c>
      <c r="BN307" t="s">
        <v>74</v>
      </c>
      <c r="BO307" t="s">
        <v>74</v>
      </c>
      <c r="BP307" t="s">
        <v>74</v>
      </c>
      <c r="BQ307" t="s">
        <v>74</v>
      </c>
      <c r="BR307" t="s">
        <v>105</v>
      </c>
      <c r="BS307" t="s">
        <v>2995</v>
      </c>
      <c r="BT307" t="str">
        <f>HYPERLINK("https%3A%2F%2Fwww.webofscience.com%2Fwos%2Fwoscc%2Ffull-record%2FWOS:000780918500024","View Full Record in Web of Science")</f>
        <v>View Full Record in Web of Science</v>
      </c>
    </row>
    <row r="308" spans="1:72" x14ac:dyDescent="0.2">
      <c r="A308" t="s">
        <v>72</v>
      </c>
      <c r="B308" t="s">
        <v>1793</v>
      </c>
      <c r="C308" t="s">
        <v>74</v>
      </c>
      <c r="D308" t="s">
        <v>74</v>
      </c>
      <c r="E308" t="s">
        <v>74</v>
      </c>
      <c r="F308" t="s">
        <v>1794</v>
      </c>
      <c r="G308" t="s">
        <v>74</v>
      </c>
      <c r="H308" t="s">
        <v>74</v>
      </c>
      <c r="I308" t="s">
        <v>1795</v>
      </c>
      <c r="J308" t="s">
        <v>1796</v>
      </c>
      <c r="K308" t="s">
        <v>74</v>
      </c>
      <c r="L308" t="s">
        <v>74</v>
      </c>
      <c r="M308" t="s">
        <v>78</v>
      </c>
      <c r="N308" t="s">
        <v>79</v>
      </c>
      <c r="O308" t="s">
        <v>74</v>
      </c>
      <c r="P308" t="s">
        <v>74</v>
      </c>
      <c r="Q308" t="s">
        <v>74</v>
      </c>
      <c r="R308" t="s">
        <v>74</v>
      </c>
      <c r="S308" t="s">
        <v>74</v>
      </c>
      <c r="T308" t="s">
        <v>1797</v>
      </c>
      <c r="U308" t="s">
        <v>1798</v>
      </c>
      <c r="V308" t="s">
        <v>1799</v>
      </c>
      <c r="W308" s="1" t="s">
        <v>1800</v>
      </c>
      <c r="X308" t="s">
        <v>1801</v>
      </c>
      <c r="Y308" t="s">
        <v>1802</v>
      </c>
      <c r="Z308" t="s">
        <v>1803</v>
      </c>
      <c r="AA308" t="s">
        <v>74</v>
      </c>
      <c r="AB308" t="s">
        <v>74</v>
      </c>
      <c r="AC308" t="s">
        <v>74</v>
      </c>
      <c r="AD308" t="s">
        <v>74</v>
      </c>
      <c r="AE308" t="s">
        <v>74</v>
      </c>
      <c r="AF308" t="s">
        <v>1804</v>
      </c>
      <c r="AG308">
        <v>29</v>
      </c>
      <c r="AH308">
        <v>0</v>
      </c>
      <c r="AI308">
        <v>0</v>
      </c>
      <c r="AJ308">
        <v>3</v>
      </c>
      <c r="AK308">
        <v>3</v>
      </c>
      <c r="AL308" t="s">
        <v>1805</v>
      </c>
      <c r="AM308" t="s">
        <v>1806</v>
      </c>
      <c r="AN308" t="s">
        <v>1807</v>
      </c>
      <c r="AO308" t="s">
        <v>1808</v>
      </c>
      <c r="AP308" t="s">
        <v>1809</v>
      </c>
      <c r="AQ308" t="s">
        <v>74</v>
      </c>
      <c r="AR308" t="s">
        <v>1810</v>
      </c>
      <c r="AS308" t="s">
        <v>1811</v>
      </c>
      <c r="AT308" t="s">
        <v>931</v>
      </c>
      <c r="AU308">
        <v>2022</v>
      </c>
      <c r="AV308">
        <v>13</v>
      </c>
      <c r="AW308">
        <v>2</v>
      </c>
      <c r="AX308" t="s">
        <v>74</v>
      </c>
      <c r="AY308" t="s">
        <v>74</v>
      </c>
      <c r="AZ308" t="s">
        <v>74</v>
      </c>
      <c r="BA308" t="s">
        <v>74</v>
      </c>
      <c r="BB308" t="s">
        <v>74</v>
      </c>
      <c r="BC308" t="s">
        <v>74</v>
      </c>
      <c r="BD308" t="s">
        <v>1812</v>
      </c>
      <c r="BE308" t="s">
        <v>1813</v>
      </c>
      <c r="BF308" t="str">
        <f>HYPERLINK("http://dx.doi.org/10.15649/cuidarte.2254","http://dx.doi.org/10.15649/cuidarte.2254")</f>
        <v>http://dx.doi.org/10.15649/cuidarte.2254</v>
      </c>
      <c r="BG308" t="s">
        <v>74</v>
      </c>
      <c r="BH308" t="s">
        <v>74</v>
      </c>
      <c r="BI308">
        <v>14</v>
      </c>
      <c r="BJ308" t="s">
        <v>1814</v>
      </c>
      <c r="BK308" t="s">
        <v>187</v>
      </c>
      <c r="BL308" t="s">
        <v>1814</v>
      </c>
      <c r="BM308" t="s">
        <v>1815</v>
      </c>
      <c r="BN308" t="s">
        <v>74</v>
      </c>
      <c r="BO308" t="s">
        <v>104</v>
      </c>
      <c r="BP308" t="s">
        <v>74</v>
      </c>
      <c r="BQ308" t="s">
        <v>74</v>
      </c>
      <c r="BR308" t="s">
        <v>105</v>
      </c>
      <c r="BS308" t="s">
        <v>1816</v>
      </c>
      <c r="BT308" t="str">
        <f>HYPERLINK("https%3A%2F%2Fwww.webofscience.com%2Fwos%2Fwoscc%2Ffull-record%2FWOS:000862979100004","View Full Record in Web of Science")</f>
        <v>View Full Record in Web of Science</v>
      </c>
    </row>
    <row r="309" spans="1:72" x14ac:dyDescent="0.2">
      <c r="A309" t="s">
        <v>72</v>
      </c>
      <c r="B309" t="s">
        <v>693</v>
      </c>
      <c r="C309" t="s">
        <v>74</v>
      </c>
      <c r="D309" t="s">
        <v>74</v>
      </c>
      <c r="E309" t="s">
        <v>74</v>
      </c>
      <c r="F309" t="s">
        <v>694</v>
      </c>
      <c r="G309" t="s">
        <v>74</v>
      </c>
      <c r="H309" t="s">
        <v>74</v>
      </c>
      <c r="I309" t="s">
        <v>695</v>
      </c>
      <c r="J309" t="s">
        <v>696</v>
      </c>
      <c r="K309" t="s">
        <v>74</v>
      </c>
      <c r="L309" t="s">
        <v>74</v>
      </c>
      <c r="M309" t="s">
        <v>78</v>
      </c>
      <c r="N309" t="s">
        <v>79</v>
      </c>
      <c r="O309" t="s">
        <v>74</v>
      </c>
      <c r="P309" t="s">
        <v>74</v>
      </c>
      <c r="Q309" t="s">
        <v>74</v>
      </c>
      <c r="R309" t="s">
        <v>74</v>
      </c>
      <c r="S309" t="s">
        <v>74</v>
      </c>
      <c r="T309" t="s">
        <v>697</v>
      </c>
      <c r="U309" t="s">
        <v>698</v>
      </c>
      <c r="V309" t="s">
        <v>699</v>
      </c>
      <c r="W309" s="1" t="s">
        <v>700</v>
      </c>
      <c r="X309" t="s">
        <v>701</v>
      </c>
      <c r="Y309" t="s">
        <v>702</v>
      </c>
      <c r="Z309" t="s">
        <v>703</v>
      </c>
      <c r="AA309" t="s">
        <v>704</v>
      </c>
      <c r="AB309" t="s">
        <v>705</v>
      </c>
      <c r="AC309" t="s">
        <v>706</v>
      </c>
      <c r="AD309" t="s">
        <v>707</v>
      </c>
      <c r="AE309" t="s">
        <v>708</v>
      </c>
      <c r="AF309" t="s">
        <v>709</v>
      </c>
      <c r="AG309">
        <v>38</v>
      </c>
      <c r="AH309">
        <v>1</v>
      </c>
      <c r="AI309">
        <v>1</v>
      </c>
      <c r="AJ309">
        <v>3</v>
      </c>
      <c r="AK309">
        <v>7</v>
      </c>
      <c r="AL309" t="s">
        <v>93</v>
      </c>
      <c r="AM309" t="s">
        <v>94</v>
      </c>
      <c r="AN309" t="s">
        <v>95</v>
      </c>
      <c r="AO309" t="s">
        <v>74</v>
      </c>
      <c r="AP309" t="s">
        <v>710</v>
      </c>
      <c r="AQ309" t="s">
        <v>74</v>
      </c>
      <c r="AR309" t="s">
        <v>696</v>
      </c>
      <c r="AS309" t="s">
        <v>711</v>
      </c>
      <c r="AT309" t="s">
        <v>126</v>
      </c>
      <c r="AU309">
        <v>2022</v>
      </c>
      <c r="AV309">
        <v>2022</v>
      </c>
      <c r="AW309">
        <v>2</v>
      </c>
      <c r="AX309" t="s">
        <v>74</v>
      </c>
      <c r="AY309" t="s">
        <v>74</v>
      </c>
      <c r="AZ309" t="s">
        <v>74</v>
      </c>
      <c r="BA309" t="s">
        <v>74</v>
      </c>
      <c r="BB309" t="s">
        <v>74</v>
      </c>
      <c r="BC309" t="s">
        <v>74</v>
      </c>
      <c r="BD309" t="s">
        <v>712</v>
      </c>
      <c r="BE309" t="s">
        <v>713</v>
      </c>
      <c r="BF309" t="str">
        <f>HYPERLINK("http://dx.doi.org/10.3390/M1387","http://dx.doi.org/10.3390/M1387")</f>
        <v>http://dx.doi.org/10.3390/M1387</v>
      </c>
      <c r="BG309" t="s">
        <v>74</v>
      </c>
      <c r="BH309" t="s">
        <v>74</v>
      </c>
      <c r="BI309">
        <v>10</v>
      </c>
      <c r="BJ309" t="s">
        <v>714</v>
      </c>
      <c r="BK309" t="s">
        <v>187</v>
      </c>
      <c r="BL309" t="s">
        <v>216</v>
      </c>
      <c r="BM309" t="s">
        <v>715</v>
      </c>
      <c r="BN309" t="s">
        <v>74</v>
      </c>
      <c r="BO309" t="s">
        <v>190</v>
      </c>
      <c r="BP309" t="s">
        <v>74</v>
      </c>
      <c r="BQ309" t="s">
        <v>74</v>
      </c>
      <c r="BR309" t="s">
        <v>105</v>
      </c>
      <c r="BS309" t="s">
        <v>716</v>
      </c>
      <c r="BT309" t="str">
        <f>HYPERLINK("https%3A%2F%2Fwww.webofscience.com%2Fwos%2Fwoscc%2Ffull-record%2FWOS:000818434400001","View Full Record in Web of Science")</f>
        <v>View Full Record in Web of Science</v>
      </c>
    </row>
    <row r="310" spans="1:72" x14ac:dyDescent="0.2">
      <c r="A310" t="s">
        <v>72</v>
      </c>
      <c r="B310" t="s">
        <v>5648</v>
      </c>
      <c r="C310" t="s">
        <v>74</v>
      </c>
      <c r="D310" t="s">
        <v>74</v>
      </c>
      <c r="E310" t="s">
        <v>74</v>
      </c>
      <c r="F310" t="s">
        <v>5649</v>
      </c>
      <c r="G310" t="s">
        <v>74</v>
      </c>
      <c r="H310" t="s">
        <v>74</v>
      </c>
      <c r="I310" t="s">
        <v>5650</v>
      </c>
      <c r="J310" t="s">
        <v>5651</v>
      </c>
      <c r="K310" t="s">
        <v>74</v>
      </c>
      <c r="L310" t="s">
        <v>74</v>
      </c>
      <c r="M310" t="s">
        <v>78</v>
      </c>
      <c r="N310" t="s">
        <v>79</v>
      </c>
      <c r="O310" t="s">
        <v>74</v>
      </c>
      <c r="P310" t="s">
        <v>74</v>
      </c>
      <c r="Q310" t="s">
        <v>74</v>
      </c>
      <c r="R310" t="s">
        <v>74</v>
      </c>
      <c r="S310" t="s">
        <v>74</v>
      </c>
      <c r="T310" t="s">
        <v>5652</v>
      </c>
      <c r="U310" t="s">
        <v>74</v>
      </c>
      <c r="V310" t="s">
        <v>5653</v>
      </c>
      <c r="W310" s="1" t="s">
        <v>5654</v>
      </c>
      <c r="X310" t="s">
        <v>5655</v>
      </c>
      <c r="Y310" t="s">
        <v>5656</v>
      </c>
      <c r="Z310" t="s">
        <v>5657</v>
      </c>
      <c r="AA310" t="s">
        <v>74</v>
      </c>
      <c r="AB310" t="s">
        <v>74</v>
      </c>
      <c r="AC310" t="s">
        <v>74</v>
      </c>
      <c r="AD310" t="s">
        <v>74</v>
      </c>
      <c r="AE310" t="s">
        <v>74</v>
      </c>
      <c r="AF310" t="s">
        <v>5658</v>
      </c>
      <c r="AG310">
        <v>34</v>
      </c>
      <c r="AH310">
        <v>0</v>
      </c>
      <c r="AI310">
        <v>0</v>
      </c>
      <c r="AJ310">
        <v>3</v>
      </c>
      <c r="AK310">
        <v>3</v>
      </c>
      <c r="AL310" t="s">
        <v>2547</v>
      </c>
      <c r="AM310" t="s">
        <v>1632</v>
      </c>
      <c r="AN310" t="s">
        <v>2548</v>
      </c>
      <c r="AO310" t="s">
        <v>5659</v>
      </c>
      <c r="AP310" t="s">
        <v>74</v>
      </c>
      <c r="AQ310" t="s">
        <v>74</v>
      </c>
      <c r="AR310" t="s">
        <v>5660</v>
      </c>
      <c r="AS310" t="s">
        <v>5661</v>
      </c>
      <c r="AT310" t="s">
        <v>1487</v>
      </c>
      <c r="AU310">
        <v>2022</v>
      </c>
      <c r="AV310">
        <v>9</v>
      </c>
      <c r="AW310">
        <v>2</v>
      </c>
      <c r="AX310" t="s">
        <v>74</v>
      </c>
      <c r="AY310" t="s">
        <v>74</v>
      </c>
      <c r="AZ310" t="s">
        <v>74</v>
      </c>
      <c r="BA310" t="s">
        <v>74</v>
      </c>
      <c r="BB310">
        <v>383</v>
      </c>
      <c r="BC310">
        <v>462</v>
      </c>
      <c r="BD310" t="s">
        <v>74</v>
      </c>
      <c r="BE310" t="s">
        <v>5662</v>
      </c>
      <c r="BF310" t="str">
        <f>HYPERLINK("http://dx.doi.org/10.15648/Collectivus.vol9num2.2022.3525","http://dx.doi.org/10.15648/Collectivus.vol9num2.2022.3525")</f>
        <v>http://dx.doi.org/10.15648/Collectivus.vol9num2.2022.3525</v>
      </c>
      <c r="BG310" t="s">
        <v>74</v>
      </c>
      <c r="BH310" t="s">
        <v>74</v>
      </c>
      <c r="BI310">
        <v>80</v>
      </c>
      <c r="BJ310" t="s">
        <v>3452</v>
      </c>
      <c r="BK310" t="s">
        <v>187</v>
      </c>
      <c r="BL310" t="s">
        <v>3452</v>
      </c>
      <c r="BM310" t="s">
        <v>5663</v>
      </c>
      <c r="BN310" t="s">
        <v>74</v>
      </c>
      <c r="BO310" t="s">
        <v>74</v>
      </c>
      <c r="BP310" t="s">
        <v>74</v>
      </c>
      <c r="BQ310" t="s">
        <v>74</v>
      </c>
      <c r="BR310" t="s">
        <v>105</v>
      </c>
      <c r="BS310" t="s">
        <v>5664</v>
      </c>
      <c r="BT310" t="str">
        <f>HYPERLINK("https%3A%2F%2Fwww.webofscience.com%2Fwos%2Fwoscc%2Ffull-record%2FWOS:000934752400009","View Full Record in Web of Science")</f>
        <v>View Full Record in Web of Science</v>
      </c>
    </row>
    <row r="311" spans="1:72" x14ac:dyDescent="0.2">
      <c r="A311" t="s">
        <v>72</v>
      </c>
      <c r="B311" t="s">
        <v>3858</v>
      </c>
      <c r="C311" t="s">
        <v>74</v>
      </c>
      <c r="D311" t="s">
        <v>74</v>
      </c>
      <c r="E311" t="s">
        <v>74</v>
      </c>
      <c r="F311" t="s">
        <v>3859</v>
      </c>
      <c r="G311" t="s">
        <v>74</v>
      </c>
      <c r="H311" t="s">
        <v>74</v>
      </c>
      <c r="I311" t="s">
        <v>3860</v>
      </c>
      <c r="J311" t="s">
        <v>1221</v>
      </c>
      <c r="K311" t="s">
        <v>74</v>
      </c>
      <c r="L311" t="s">
        <v>74</v>
      </c>
      <c r="M311" t="s">
        <v>78</v>
      </c>
      <c r="N311" t="s">
        <v>79</v>
      </c>
      <c r="O311" t="s">
        <v>74</v>
      </c>
      <c r="P311" t="s">
        <v>74</v>
      </c>
      <c r="Q311" t="s">
        <v>74</v>
      </c>
      <c r="R311" t="s">
        <v>74</v>
      </c>
      <c r="S311" t="s">
        <v>74</v>
      </c>
      <c r="T311" t="s">
        <v>74</v>
      </c>
      <c r="U311" t="s">
        <v>3861</v>
      </c>
      <c r="V311" t="s">
        <v>3862</v>
      </c>
      <c r="W311" s="1" t="s">
        <v>3863</v>
      </c>
      <c r="X311" t="s">
        <v>3864</v>
      </c>
      <c r="Y311" t="s">
        <v>3865</v>
      </c>
      <c r="Z311" t="s">
        <v>3866</v>
      </c>
      <c r="AA311" t="s">
        <v>74</v>
      </c>
      <c r="AB311" t="s">
        <v>74</v>
      </c>
      <c r="AC311" t="s">
        <v>74</v>
      </c>
      <c r="AD311" t="s">
        <v>74</v>
      </c>
      <c r="AE311" t="s">
        <v>74</v>
      </c>
      <c r="AF311" t="s">
        <v>3867</v>
      </c>
      <c r="AG311">
        <v>41</v>
      </c>
      <c r="AH311">
        <v>0</v>
      </c>
      <c r="AI311">
        <v>0</v>
      </c>
      <c r="AJ311">
        <v>3</v>
      </c>
      <c r="AK311">
        <v>3</v>
      </c>
      <c r="AL311" t="s">
        <v>1233</v>
      </c>
      <c r="AM311" t="s">
        <v>1234</v>
      </c>
      <c r="AN311" t="s">
        <v>1235</v>
      </c>
      <c r="AO311" t="s">
        <v>1236</v>
      </c>
      <c r="AP311" t="s">
        <v>74</v>
      </c>
      <c r="AQ311" t="s">
        <v>74</v>
      </c>
      <c r="AR311" t="s">
        <v>1237</v>
      </c>
      <c r="AS311" t="s">
        <v>1238</v>
      </c>
      <c r="AT311" t="s">
        <v>3868</v>
      </c>
      <c r="AU311">
        <v>2023</v>
      </c>
      <c r="AV311">
        <v>13</v>
      </c>
      <c r="AW311">
        <v>1</v>
      </c>
      <c r="AX311" t="s">
        <v>74</v>
      </c>
      <c r="AY311" t="s">
        <v>74</v>
      </c>
      <c r="AZ311" t="s">
        <v>74</v>
      </c>
      <c r="BA311" t="s">
        <v>74</v>
      </c>
      <c r="BB311" t="s">
        <v>74</v>
      </c>
      <c r="BC311" t="s">
        <v>74</v>
      </c>
      <c r="BD311">
        <v>3650</v>
      </c>
      <c r="BE311" t="s">
        <v>3869</v>
      </c>
      <c r="BF311" t="str">
        <f>HYPERLINK("http://dx.doi.org/10.1038/s41598-023-30529-8","http://dx.doi.org/10.1038/s41598-023-30529-8")</f>
        <v>http://dx.doi.org/10.1038/s41598-023-30529-8</v>
      </c>
      <c r="BG311" t="s">
        <v>74</v>
      </c>
      <c r="BH311" t="s">
        <v>74</v>
      </c>
      <c r="BI311">
        <v>15</v>
      </c>
      <c r="BJ311" t="s">
        <v>627</v>
      </c>
      <c r="BK311" t="s">
        <v>102</v>
      </c>
      <c r="BL311" t="s">
        <v>628</v>
      </c>
      <c r="BM311" t="s">
        <v>3870</v>
      </c>
      <c r="BN311">
        <v>36871048</v>
      </c>
      <c r="BO311" t="s">
        <v>131</v>
      </c>
      <c r="BP311" t="s">
        <v>74</v>
      </c>
      <c r="BQ311" t="s">
        <v>74</v>
      </c>
      <c r="BR311" t="s">
        <v>105</v>
      </c>
      <c r="BS311" t="s">
        <v>3871</v>
      </c>
      <c r="BT311" t="str">
        <f>HYPERLINK("https%3A%2F%2Fwww.webofscience.com%2Fwos%2Fwoscc%2Ffull-record%2FWOS:000946670000037","View Full Record in Web of Science")</f>
        <v>View Full Record in Web of Science</v>
      </c>
    </row>
    <row r="312" spans="1:72" x14ac:dyDescent="0.2">
      <c r="A312" t="s">
        <v>72</v>
      </c>
      <c r="B312" t="s">
        <v>5435</v>
      </c>
      <c r="C312" t="s">
        <v>74</v>
      </c>
      <c r="D312" t="s">
        <v>74</v>
      </c>
      <c r="E312" t="s">
        <v>74</v>
      </c>
      <c r="F312" t="s">
        <v>5436</v>
      </c>
      <c r="G312" t="s">
        <v>74</v>
      </c>
      <c r="H312" t="s">
        <v>74</v>
      </c>
      <c r="I312" t="s">
        <v>5437</v>
      </c>
      <c r="J312" t="s">
        <v>2785</v>
      </c>
      <c r="K312" t="s">
        <v>74</v>
      </c>
      <c r="L312" t="s">
        <v>74</v>
      </c>
      <c r="M312" t="s">
        <v>1517</v>
      </c>
      <c r="N312" t="s">
        <v>5438</v>
      </c>
      <c r="O312" t="s">
        <v>74</v>
      </c>
      <c r="P312" t="s">
        <v>74</v>
      </c>
      <c r="Q312" t="s">
        <v>74</v>
      </c>
      <c r="R312" t="s">
        <v>74</v>
      </c>
      <c r="S312" t="s">
        <v>74</v>
      </c>
      <c r="T312" t="s">
        <v>74</v>
      </c>
      <c r="U312" t="s">
        <v>74</v>
      </c>
      <c r="V312" t="s">
        <v>74</v>
      </c>
      <c r="W312" s="1" t="s">
        <v>5439</v>
      </c>
      <c r="X312" t="s">
        <v>84</v>
      </c>
      <c r="Y312" t="s">
        <v>5440</v>
      </c>
      <c r="Z312" t="s">
        <v>5441</v>
      </c>
      <c r="AA312" t="s">
        <v>74</v>
      </c>
      <c r="AB312" t="s">
        <v>74</v>
      </c>
      <c r="AC312" t="s">
        <v>74</v>
      </c>
      <c r="AD312" t="s">
        <v>74</v>
      </c>
      <c r="AE312" t="s">
        <v>74</v>
      </c>
      <c r="AF312" t="s">
        <v>5442</v>
      </c>
      <c r="AG312">
        <v>17</v>
      </c>
      <c r="AH312">
        <v>0</v>
      </c>
      <c r="AI312">
        <v>0</v>
      </c>
      <c r="AJ312">
        <v>0</v>
      </c>
      <c r="AK312">
        <v>0</v>
      </c>
      <c r="AL312" t="s">
        <v>1930</v>
      </c>
      <c r="AM312" t="s">
        <v>1931</v>
      </c>
      <c r="AN312" t="s">
        <v>1932</v>
      </c>
      <c r="AO312" t="s">
        <v>2792</v>
      </c>
      <c r="AP312" t="s">
        <v>2793</v>
      </c>
      <c r="AQ312" t="s">
        <v>74</v>
      </c>
      <c r="AR312" t="s">
        <v>2794</v>
      </c>
      <c r="AS312" t="s">
        <v>2795</v>
      </c>
      <c r="AT312" t="s">
        <v>74</v>
      </c>
      <c r="AU312">
        <v>2022</v>
      </c>
      <c r="AV312">
        <v>39</v>
      </c>
      <c r="AW312" t="s">
        <v>74</v>
      </c>
      <c r="AX312" t="s">
        <v>74</v>
      </c>
      <c r="AY312" t="s">
        <v>74</v>
      </c>
      <c r="AZ312" t="s">
        <v>74</v>
      </c>
      <c r="BA312" t="s">
        <v>74</v>
      </c>
      <c r="BB312" t="s">
        <v>74</v>
      </c>
      <c r="BC312" t="s">
        <v>74</v>
      </c>
      <c r="BD312" t="s">
        <v>5443</v>
      </c>
      <c r="BE312" t="s">
        <v>5444</v>
      </c>
      <c r="BF312" t="str">
        <f>HYPERLINK("http://dx.doi.org/10.19053/0121053X.n39.2022.14026","http://dx.doi.org/10.19053/0121053X.n39.2022.14026")</f>
        <v>http://dx.doi.org/10.19053/0121053X.n39.2022.14026</v>
      </c>
      <c r="BG312" t="s">
        <v>74</v>
      </c>
      <c r="BH312" t="s">
        <v>74</v>
      </c>
      <c r="BI312">
        <v>9</v>
      </c>
      <c r="BJ312" t="s">
        <v>2798</v>
      </c>
      <c r="BK312" t="s">
        <v>187</v>
      </c>
      <c r="BL312" t="s">
        <v>2798</v>
      </c>
      <c r="BM312" t="s">
        <v>5445</v>
      </c>
      <c r="BN312" t="s">
        <v>74</v>
      </c>
      <c r="BO312" t="s">
        <v>190</v>
      </c>
      <c r="BP312" t="s">
        <v>74</v>
      </c>
      <c r="BQ312" t="s">
        <v>74</v>
      </c>
      <c r="BR312" t="s">
        <v>105</v>
      </c>
      <c r="BS312" t="s">
        <v>5446</v>
      </c>
      <c r="BT312" t="str">
        <f>HYPERLINK("https%3A%2F%2Fwww.webofscience.com%2Fwos%2Fwoscc%2Ffull-record%2FWOS:000767790500001","View Full Record in Web of Science")</f>
        <v>View Full Record in Web of Science</v>
      </c>
    </row>
    <row r="313" spans="1:72" x14ac:dyDescent="0.2">
      <c r="A313" t="s">
        <v>72</v>
      </c>
      <c r="B313" t="s">
        <v>1664</v>
      </c>
      <c r="C313" t="s">
        <v>74</v>
      </c>
      <c r="D313" t="s">
        <v>74</v>
      </c>
      <c r="E313" t="s">
        <v>74</v>
      </c>
      <c r="F313" t="s">
        <v>1665</v>
      </c>
      <c r="G313" t="s">
        <v>74</v>
      </c>
      <c r="H313" t="s">
        <v>74</v>
      </c>
      <c r="I313" t="s">
        <v>1666</v>
      </c>
      <c r="J313" t="s">
        <v>1667</v>
      </c>
      <c r="K313" t="s">
        <v>74</v>
      </c>
      <c r="L313" t="s">
        <v>74</v>
      </c>
      <c r="M313" t="s">
        <v>78</v>
      </c>
      <c r="N313" t="s">
        <v>79</v>
      </c>
      <c r="O313" t="s">
        <v>74</v>
      </c>
      <c r="P313" t="s">
        <v>74</v>
      </c>
      <c r="Q313" t="s">
        <v>74</v>
      </c>
      <c r="R313" t="s">
        <v>74</v>
      </c>
      <c r="S313" t="s">
        <v>74</v>
      </c>
      <c r="T313" t="s">
        <v>1668</v>
      </c>
      <c r="U313" t="s">
        <v>1669</v>
      </c>
      <c r="V313" t="s">
        <v>1670</v>
      </c>
      <c r="W313" s="1" t="s">
        <v>1671</v>
      </c>
      <c r="X313" t="s">
        <v>1672</v>
      </c>
      <c r="Y313" t="s">
        <v>1673</v>
      </c>
      <c r="Z313" t="s">
        <v>1674</v>
      </c>
      <c r="AA313" t="s">
        <v>74</v>
      </c>
      <c r="AB313" t="s">
        <v>74</v>
      </c>
      <c r="AC313" t="s">
        <v>74</v>
      </c>
      <c r="AD313" t="s">
        <v>74</v>
      </c>
      <c r="AE313" t="s">
        <v>74</v>
      </c>
      <c r="AF313" t="s">
        <v>1675</v>
      </c>
      <c r="AG313">
        <v>72</v>
      </c>
      <c r="AH313">
        <v>0</v>
      </c>
      <c r="AI313">
        <v>0</v>
      </c>
      <c r="AJ313">
        <v>4</v>
      </c>
      <c r="AK313">
        <v>4</v>
      </c>
      <c r="AL313" t="s">
        <v>1676</v>
      </c>
      <c r="AM313" t="s">
        <v>1677</v>
      </c>
      <c r="AN313" t="s">
        <v>1678</v>
      </c>
      <c r="AO313" t="s">
        <v>1679</v>
      </c>
      <c r="AP313" t="s">
        <v>1680</v>
      </c>
      <c r="AQ313" t="s">
        <v>74</v>
      </c>
      <c r="AR313" t="s">
        <v>1681</v>
      </c>
      <c r="AS313" t="s">
        <v>1682</v>
      </c>
      <c r="AT313" t="s">
        <v>1683</v>
      </c>
      <c r="AU313">
        <v>2022</v>
      </c>
      <c r="AV313">
        <v>37</v>
      </c>
      <c r="AW313">
        <v>3</v>
      </c>
      <c r="AX313" t="s">
        <v>74</v>
      </c>
      <c r="AY313" t="s">
        <v>74</v>
      </c>
      <c r="AZ313" t="s">
        <v>74</v>
      </c>
      <c r="BA313" t="s">
        <v>74</v>
      </c>
      <c r="BB313">
        <v>404</v>
      </c>
      <c r="BC313">
        <v>415</v>
      </c>
      <c r="BD313" t="s">
        <v>74</v>
      </c>
      <c r="BE313" t="s">
        <v>1684</v>
      </c>
      <c r="BF313" t="str">
        <f>HYPERLINK("http://dx.doi.org/10.7764/RIC.00044.21","http://dx.doi.org/10.7764/RIC.00044.21")</f>
        <v>http://dx.doi.org/10.7764/RIC.00044.21</v>
      </c>
      <c r="BG313" t="s">
        <v>74</v>
      </c>
      <c r="BH313" t="s">
        <v>74</v>
      </c>
      <c r="BI313">
        <v>12</v>
      </c>
      <c r="BJ313" t="s">
        <v>1685</v>
      </c>
      <c r="BK313" t="s">
        <v>187</v>
      </c>
      <c r="BL313" t="s">
        <v>1685</v>
      </c>
      <c r="BM313" t="s">
        <v>1686</v>
      </c>
      <c r="BN313" t="s">
        <v>74</v>
      </c>
      <c r="BO313" t="s">
        <v>1687</v>
      </c>
      <c r="BP313" t="s">
        <v>74</v>
      </c>
      <c r="BQ313" t="s">
        <v>74</v>
      </c>
      <c r="BR313" t="s">
        <v>105</v>
      </c>
      <c r="BS313" t="s">
        <v>1688</v>
      </c>
      <c r="BT313" t="str">
        <f>HYPERLINK("https%3A%2F%2Fwww.webofscience.com%2Fwos%2Fwoscc%2Ffull-record%2FWOS:000926450400009","View Full Record in Web of Science")</f>
        <v>View Full Record in Web of Science</v>
      </c>
    </row>
    <row r="314" spans="1:72" x14ac:dyDescent="0.2">
      <c r="A314" t="s">
        <v>72</v>
      </c>
      <c r="B314" t="s">
        <v>2929</v>
      </c>
      <c r="C314" t="s">
        <v>74</v>
      </c>
      <c r="D314" t="s">
        <v>74</v>
      </c>
      <c r="E314" t="s">
        <v>74</v>
      </c>
      <c r="F314" t="s">
        <v>2930</v>
      </c>
      <c r="G314" t="s">
        <v>74</v>
      </c>
      <c r="H314" t="s">
        <v>74</v>
      </c>
      <c r="I314" t="s">
        <v>2931</v>
      </c>
      <c r="J314" t="s">
        <v>2932</v>
      </c>
      <c r="K314" t="s">
        <v>74</v>
      </c>
      <c r="L314" t="s">
        <v>74</v>
      </c>
      <c r="M314" t="s">
        <v>78</v>
      </c>
      <c r="N314" t="s">
        <v>79</v>
      </c>
      <c r="O314" t="s">
        <v>74</v>
      </c>
      <c r="P314" t="s">
        <v>74</v>
      </c>
      <c r="Q314" t="s">
        <v>74</v>
      </c>
      <c r="R314" t="s">
        <v>74</v>
      </c>
      <c r="S314" t="s">
        <v>74</v>
      </c>
      <c r="T314" t="s">
        <v>2933</v>
      </c>
      <c r="U314" t="s">
        <v>2934</v>
      </c>
      <c r="V314" t="s">
        <v>2935</v>
      </c>
      <c r="W314" s="1" t="s">
        <v>2936</v>
      </c>
      <c r="X314" t="s">
        <v>2937</v>
      </c>
      <c r="Y314" t="s">
        <v>2938</v>
      </c>
      <c r="Z314" t="s">
        <v>2939</v>
      </c>
      <c r="AA314" t="s">
        <v>74</v>
      </c>
      <c r="AB314" t="s">
        <v>2940</v>
      </c>
      <c r="AC314" t="s">
        <v>2941</v>
      </c>
      <c r="AD314" t="s">
        <v>2942</v>
      </c>
      <c r="AE314" t="s">
        <v>2943</v>
      </c>
      <c r="AF314" t="s">
        <v>2944</v>
      </c>
      <c r="AG314">
        <v>69</v>
      </c>
      <c r="AH314">
        <v>2</v>
      </c>
      <c r="AI314">
        <v>2</v>
      </c>
      <c r="AJ314">
        <v>1</v>
      </c>
      <c r="AK314">
        <v>6</v>
      </c>
      <c r="AL314" t="s">
        <v>1128</v>
      </c>
      <c r="AM314" t="s">
        <v>1129</v>
      </c>
      <c r="AN314" t="s">
        <v>1130</v>
      </c>
      <c r="AO314" t="s">
        <v>2945</v>
      </c>
      <c r="AP314" t="s">
        <v>2946</v>
      </c>
      <c r="AQ314" t="s">
        <v>74</v>
      </c>
      <c r="AR314" t="s">
        <v>2947</v>
      </c>
      <c r="AS314" t="s">
        <v>2948</v>
      </c>
      <c r="AT314" t="s">
        <v>1162</v>
      </c>
      <c r="AU314">
        <v>2022</v>
      </c>
      <c r="AV314">
        <v>37</v>
      </c>
      <c r="AW314">
        <v>2</v>
      </c>
      <c r="AX314" t="s">
        <v>74</v>
      </c>
      <c r="AY314" t="s">
        <v>74</v>
      </c>
      <c r="AZ314" t="s">
        <v>74</v>
      </c>
      <c r="BA314" t="s">
        <v>74</v>
      </c>
      <c r="BB314">
        <v>160</v>
      </c>
      <c r="BC314">
        <v>172</v>
      </c>
      <c r="BD314" t="s">
        <v>74</v>
      </c>
      <c r="BE314" t="s">
        <v>2949</v>
      </c>
      <c r="BF314" t="str">
        <f>HYPERLINK("http://dx.doi.org/10.1111/1442-1984.12364","http://dx.doi.org/10.1111/1442-1984.12364")</f>
        <v>http://dx.doi.org/10.1111/1442-1984.12364</v>
      </c>
      <c r="BG314" t="s">
        <v>74</v>
      </c>
      <c r="BH314" t="s">
        <v>389</v>
      </c>
      <c r="BI314">
        <v>13</v>
      </c>
      <c r="BJ314" t="s">
        <v>2950</v>
      </c>
      <c r="BK314" t="s">
        <v>102</v>
      </c>
      <c r="BL314" t="s">
        <v>2951</v>
      </c>
      <c r="BM314" t="s">
        <v>2952</v>
      </c>
      <c r="BN314" t="s">
        <v>74</v>
      </c>
      <c r="BO314" t="s">
        <v>74</v>
      </c>
      <c r="BP314" t="s">
        <v>74</v>
      </c>
      <c r="BQ314" t="s">
        <v>74</v>
      </c>
      <c r="BR314" t="s">
        <v>105</v>
      </c>
      <c r="BS314" t="s">
        <v>2953</v>
      </c>
      <c r="BT314" t="str">
        <f>HYPERLINK("https%3A%2F%2Fwww.webofscience.com%2Fwos%2Fwoscc%2Ffull-record%2FWOS:000742865300001","View Full Record in Web of Science")</f>
        <v>View Full Record in Web of Science</v>
      </c>
    </row>
    <row r="315" spans="1:72" x14ac:dyDescent="0.2">
      <c r="A315" t="s">
        <v>72</v>
      </c>
      <c r="B315" t="s">
        <v>5319</v>
      </c>
      <c r="C315" t="s">
        <v>74</v>
      </c>
      <c r="D315" t="s">
        <v>74</v>
      </c>
      <c r="E315" t="s">
        <v>74</v>
      </c>
      <c r="F315" t="s">
        <v>5320</v>
      </c>
      <c r="G315" t="s">
        <v>74</v>
      </c>
      <c r="H315" t="s">
        <v>74</v>
      </c>
      <c r="I315" t="s">
        <v>5321</v>
      </c>
      <c r="J315" t="s">
        <v>5322</v>
      </c>
      <c r="K315" t="s">
        <v>74</v>
      </c>
      <c r="L315" t="s">
        <v>74</v>
      </c>
      <c r="M315" t="s">
        <v>78</v>
      </c>
      <c r="N315" t="s">
        <v>79</v>
      </c>
      <c r="O315" t="s">
        <v>74</v>
      </c>
      <c r="P315" t="s">
        <v>74</v>
      </c>
      <c r="Q315" t="s">
        <v>74</v>
      </c>
      <c r="R315" t="s">
        <v>74</v>
      </c>
      <c r="S315" t="s">
        <v>74</v>
      </c>
      <c r="T315" t="s">
        <v>5323</v>
      </c>
      <c r="U315" t="s">
        <v>5324</v>
      </c>
      <c r="V315" t="s">
        <v>5325</v>
      </c>
      <c r="W315" s="1" t="s">
        <v>5326</v>
      </c>
      <c r="X315" t="s">
        <v>5327</v>
      </c>
      <c r="Y315" t="s">
        <v>5328</v>
      </c>
      <c r="Z315" t="s">
        <v>5329</v>
      </c>
      <c r="AA315" t="s">
        <v>5330</v>
      </c>
      <c r="AB315" t="s">
        <v>5331</v>
      </c>
      <c r="AC315" t="s">
        <v>74</v>
      </c>
      <c r="AD315" t="s">
        <v>74</v>
      </c>
      <c r="AE315" t="s">
        <v>74</v>
      </c>
      <c r="AF315" t="s">
        <v>5332</v>
      </c>
      <c r="AG315">
        <v>29</v>
      </c>
      <c r="AH315">
        <v>0</v>
      </c>
      <c r="AI315">
        <v>0</v>
      </c>
      <c r="AJ315">
        <v>0</v>
      </c>
      <c r="AK315">
        <v>0</v>
      </c>
      <c r="AL315" t="s">
        <v>5333</v>
      </c>
      <c r="AM315" t="s">
        <v>410</v>
      </c>
      <c r="AN315" t="s">
        <v>5334</v>
      </c>
      <c r="AO315" t="s">
        <v>5335</v>
      </c>
      <c r="AP315" t="s">
        <v>5336</v>
      </c>
      <c r="AQ315" t="s">
        <v>74</v>
      </c>
      <c r="AR315" t="s">
        <v>5322</v>
      </c>
      <c r="AS315" t="s">
        <v>5337</v>
      </c>
      <c r="AT315" t="s">
        <v>980</v>
      </c>
      <c r="AU315">
        <v>2023</v>
      </c>
      <c r="AV315">
        <v>36</v>
      </c>
      <c r="AW315">
        <v>2</v>
      </c>
      <c r="AX315" t="s">
        <v>74</v>
      </c>
      <c r="AY315" t="s">
        <v>74</v>
      </c>
      <c r="AZ315" t="s">
        <v>74</v>
      </c>
      <c r="BA315" t="s">
        <v>74</v>
      </c>
      <c r="BB315">
        <v>245</v>
      </c>
      <c r="BC315">
        <v>257</v>
      </c>
      <c r="BD315" t="s">
        <v>74</v>
      </c>
      <c r="BE315" t="s">
        <v>5338</v>
      </c>
      <c r="BF315" t="str">
        <f>HYPERLINK("http://dx.doi.org/10.17533/udea.iatreia.194","http://dx.doi.org/10.17533/udea.iatreia.194")</f>
        <v>http://dx.doi.org/10.17533/udea.iatreia.194</v>
      </c>
      <c r="BG315" t="s">
        <v>74</v>
      </c>
      <c r="BH315" t="s">
        <v>74</v>
      </c>
      <c r="BI315">
        <v>13</v>
      </c>
      <c r="BJ315" t="s">
        <v>3958</v>
      </c>
      <c r="BK315" t="s">
        <v>187</v>
      </c>
      <c r="BL315" t="s">
        <v>3959</v>
      </c>
      <c r="BM315" t="s">
        <v>5339</v>
      </c>
      <c r="BN315" t="s">
        <v>74</v>
      </c>
      <c r="BO315" t="s">
        <v>190</v>
      </c>
      <c r="BP315" t="s">
        <v>74</v>
      </c>
      <c r="BQ315" t="s">
        <v>74</v>
      </c>
      <c r="BR315" t="s">
        <v>105</v>
      </c>
      <c r="BS315" t="s">
        <v>5340</v>
      </c>
      <c r="BT315" t="str">
        <f>HYPERLINK("https%3A%2F%2Fwww.webofscience.com%2Fwos%2Fwoscc%2Ffull-record%2FWOS:000972106900009","View Full Record in Web of Science")</f>
        <v>View Full Record in Web of Science</v>
      </c>
    </row>
    <row r="316" spans="1:72" x14ac:dyDescent="0.2">
      <c r="A316" t="s">
        <v>72</v>
      </c>
      <c r="B316" t="s">
        <v>4173</v>
      </c>
      <c r="C316" t="s">
        <v>74</v>
      </c>
      <c r="D316" t="s">
        <v>74</v>
      </c>
      <c r="E316" t="s">
        <v>74</v>
      </c>
      <c r="F316" t="s">
        <v>4174</v>
      </c>
      <c r="G316" t="s">
        <v>74</v>
      </c>
      <c r="H316" t="s">
        <v>74</v>
      </c>
      <c r="I316" t="s">
        <v>4175</v>
      </c>
      <c r="J316" t="s">
        <v>1010</v>
      </c>
      <c r="K316" t="s">
        <v>74</v>
      </c>
      <c r="L316" t="s">
        <v>74</v>
      </c>
      <c r="M316" t="s">
        <v>78</v>
      </c>
      <c r="N316" t="s">
        <v>79</v>
      </c>
      <c r="O316" t="s">
        <v>74</v>
      </c>
      <c r="P316" t="s">
        <v>74</v>
      </c>
      <c r="Q316" t="s">
        <v>74</v>
      </c>
      <c r="R316" t="s">
        <v>74</v>
      </c>
      <c r="S316" t="s">
        <v>74</v>
      </c>
      <c r="T316" t="s">
        <v>4176</v>
      </c>
      <c r="U316" t="s">
        <v>4177</v>
      </c>
      <c r="V316" t="s">
        <v>4178</v>
      </c>
      <c r="W316" s="1" t="s">
        <v>4179</v>
      </c>
      <c r="X316" t="s">
        <v>4180</v>
      </c>
      <c r="Y316" t="s">
        <v>4181</v>
      </c>
      <c r="Z316" t="s">
        <v>4182</v>
      </c>
      <c r="AA316" t="s">
        <v>74</v>
      </c>
      <c r="AB316" t="s">
        <v>4183</v>
      </c>
      <c r="AC316" t="s">
        <v>4184</v>
      </c>
      <c r="AD316" t="s">
        <v>4185</v>
      </c>
      <c r="AE316" t="s">
        <v>4186</v>
      </c>
      <c r="AF316" t="s">
        <v>4187</v>
      </c>
      <c r="AG316">
        <v>57</v>
      </c>
      <c r="AH316">
        <v>1</v>
      </c>
      <c r="AI316">
        <v>1</v>
      </c>
      <c r="AJ316">
        <v>1</v>
      </c>
      <c r="AK316">
        <v>14</v>
      </c>
      <c r="AL316" t="s">
        <v>1024</v>
      </c>
      <c r="AM316" t="s">
        <v>620</v>
      </c>
      <c r="AN316" t="s">
        <v>1025</v>
      </c>
      <c r="AO316" t="s">
        <v>1026</v>
      </c>
      <c r="AP316" t="s">
        <v>1027</v>
      </c>
      <c r="AQ316" t="s">
        <v>74</v>
      </c>
      <c r="AR316" t="s">
        <v>1010</v>
      </c>
      <c r="AS316" t="s">
        <v>1028</v>
      </c>
      <c r="AT316" t="s">
        <v>1162</v>
      </c>
      <c r="AU316">
        <v>2022</v>
      </c>
      <c r="AV316">
        <v>291</v>
      </c>
      <c r="AW316" t="s">
        <v>74</v>
      </c>
      <c r="AX316">
        <v>3</v>
      </c>
      <c r="AY316" t="s">
        <v>74</v>
      </c>
      <c r="AZ316" t="s">
        <v>74</v>
      </c>
      <c r="BA316" t="s">
        <v>74</v>
      </c>
      <c r="BB316" t="s">
        <v>74</v>
      </c>
      <c r="BC316" t="s">
        <v>74</v>
      </c>
      <c r="BD316">
        <v>133051</v>
      </c>
      <c r="BE316" t="s">
        <v>4188</v>
      </c>
      <c r="BF316" t="str">
        <f>HYPERLINK("http://dx.doi.org/10.1016/j.chemosphere.2021.133051","http://dx.doi.org/10.1016/j.chemosphere.2021.133051")</f>
        <v>http://dx.doi.org/10.1016/j.chemosphere.2021.133051</v>
      </c>
      <c r="BG316" t="s">
        <v>74</v>
      </c>
      <c r="BH316" t="s">
        <v>389</v>
      </c>
      <c r="BI316">
        <v>11</v>
      </c>
      <c r="BJ316" t="s">
        <v>1032</v>
      </c>
      <c r="BK316" t="s">
        <v>102</v>
      </c>
      <c r="BL316" t="s">
        <v>1033</v>
      </c>
      <c r="BM316" t="s">
        <v>4189</v>
      </c>
      <c r="BN316">
        <v>34826441</v>
      </c>
      <c r="BO316" t="s">
        <v>74</v>
      </c>
      <c r="BP316" t="s">
        <v>74</v>
      </c>
      <c r="BQ316" t="s">
        <v>74</v>
      </c>
      <c r="BR316" t="s">
        <v>105</v>
      </c>
      <c r="BS316" t="s">
        <v>4190</v>
      </c>
      <c r="BT316" t="str">
        <f>HYPERLINK("https%3A%2F%2Fwww.webofscience.com%2Fwos%2Fwoscc%2Ffull-record%2FWOS:000758280300006","View Full Record in Web of Science")</f>
        <v>View Full Record in Web of Science</v>
      </c>
    </row>
    <row r="317" spans="1:72" x14ac:dyDescent="0.2">
      <c r="A317" t="s">
        <v>72</v>
      </c>
      <c r="B317" t="s">
        <v>5303</v>
      </c>
      <c r="C317" t="s">
        <v>74</v>
      </c>
      <c r="D317" t="s">
        <v>74</v>
      </c>
      <c r="E317" t="s">
        <v>74</v>
      </c>
      <c r="F317" t="s">
        <v>5304</v>
      </c>
      <c r="G317" t="s">
        <v>74</v>
      </c>
      <c r="H317" t="s">
        <v>74</v>
      </c>
      <c r="I317" t="s">
        <v>5305</v>
      </c>
      <c r="J317" t="s">
        <v>5306</v>
      </c>
      <c r="K317" t="s">
        <v>74</v>
      </c>
      <c r="L317" t="s">
        <v>74</v>
      </c>
      <c r="M317" t="s">
        <v>78</v>
      </c>
      <c r="N317" t="s">
        <v>2421</v>
      </c>
      <c r="O317" t="s">
        <v>74</v>
      </c>
      <c r="P317" t="s">
        <v>74</v>
      </c>
      <c r="Q317" t="s">
        <v>74</v>
      </c>
      <c r="R317" t="s">
        <v>74</v>
      </c>
      <c r="S317" t="s">
        <v>74</v>
      </c>
      <c r="T317" t="s">
        <v>5307</v>
      </c>
      <c r="U317" t="s">
        <v>74</v>
      </c>
      <c r="V317" t="s">
        <v>74</v>
      </c>
      <c r="W317" s="1" t="s">
        <v>5308</v>
      </c>
      <c r="X317" t="s">
        <v>84</v>
      </c>
      <c r="Y317" t="s">
        <v>5309</v>
      </c>
      <c r="Z317" t="s">
        <v>5310</v>
      </c>
      <c r="AA317" t="s">
        <v>74</v>
      </c>
      <c r="AB317" t="s">
        <v>5311</v>
      </c>
      <c r="AC317" t="s">
        <v>74</v>
      </c>
      <c r="AD317" t="s">
        <v>74</v>
      </c>
      <c r="AE317" t="s">
        <v>74</v>
      </c>
      <c r="AF317" t="s">
        <v>2427</v>
      </c>
      <c r="AG317">
        <v>5</v>
      </c>
      <c r="AH317">
        <v>0</v>
      </c>
      <c r="AI317">
        <v>0</v>
      </c>
      <c r="AJ317">
        <v>0</v>
      </c>
      <c r="AK317">
        <v>1</v>
      </c>
      <c r="AL317" t="s">
        <v>619</v>
      </c>
      <c r="AM317" t="s">
        <v>620</v>
      </c>
      <c r="AN317" t="s">
        <v>621</v>
      </c>
      <c r="AO317" t="s">
        <v>5312</v>
      </c>
      <c r="AP317" t="s">
        <v>74</v>
      </c>
      <c r="AQ317" t="s">
        <v>74</v>
      </c>
      <c r="AR317" t="s">
        <v>5313</v>
      </c>
      <c r="AS317" t="s">
        <v>5314</v>
      </c>
      <c r="AT317" t="s">
        <v>126</v>
      </c>
      <c r="AU317">
        <v>2022</v>
      </c>
      <c r="AV317">
        <v>43</v>
      </c>
      <c r="AW317" t="s">
        <v>74</v>
      </c>
      <c r="AX317" t="s">
        <v>74</v>
      </c>
      <c r="AY317" t="s">
        <v>74</v>
      </c>
      <c r="AZ317" t="s">
        <v>74</v>
      </c>
      <c r="BA317" t="s">
        <v>74</v>
      </c>
      <c r="BB317" t="s">
        <v>74</v>
      </c>
      <c r="BC317" t="s">
        <v>74</v>
      </c>
      <c r="BD317">
        <v>100477</v>
      </c>
      <c r="BE317" t="s">
        <v>5315</v>
      </c>
      <c r="BF317" t="str">
        <f>HYPERLINK("http://dx.doi.org/10.1016/j.ijso.2022.100477","http://dx.doi.org/10.1016/j.ijso.2022.100477")</f>
        <v>http://dx.doi.org/10.1016/j.ijso.2022.100477</v>
      </c>
      <c r="BG317" t="s">
        <v>74</v>
      </c>
      <c r="BH317" t="s">
        <v>1660</v>
      </c>
      <c r="BI317">
        <v>2</v>
      </c>
      <c r="BJ317" t="s">
        <v>5316</v>
      </c>
      <c r="BK317" t="s">
        <v>187</v>
      </c>
      <c r="BL317" t="s">
        <v>5316</v>
      </c>
      <c r="BM317" t="s">
        <v>5317</v>
      </c>
      <c r="BN317" t="s">
        <v>74</v>
      </c>
      <c r="BO317" t="s">
        <v>190</v>
      </c>
      <c r="BP317" t="s">
        <v>74</v>
      </c>
      <c r="BQ317" t="s">
        <v>74</v>
      </c>
      <c r="BR317" t="s">
        <v>105</v>
      </c>
      <c r="BS317" t="s">
        <v>5318</v>
      </c>
      <c r="BT317" t="str">
        <f>HYPERLINK("https%3A%2F%2Fwww.webofscience.com%2Fwos%2Fwoscc%2Ffull-record%2FWOS:000832842200002","View Full Record in Web of Science")</f>
        <v>View Full Record in Web of Science</v>
      </c>
    </row>
  </sheetData>
  <pageMargins left="0.75" right="0.75" top="1" bottom="1" header="0.5" footer="0.5"/>
  <pageSetup orientation="portrait"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dc:creator>
  <cp:lastModifiedBy>DIN</cp:lastModifiedBy>
  <dcterms:created xsi:type="dcterms:W3CDTF">2023-06-14T15:30:41Z</dcterms:created>
  <dcterms:modified xsi:type="dcterms:W3CDTF">2023-06-14T15:30:41Z</dcterms:modified>
</cp:coreProperties>
</file>